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HhhLGvL8b5wDIcNHNXLrgNcP5G9fOui/8NWamFzzWV59jRWNSUMcsnEQTryvnSZzFRNgbqKZ9YnN9zFzr54gg==" workbookSaltValue="thmECNSTOkH9OgY5m73s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E32" i="20"/>
  <c r="AI32" i="20"/>
  <c r="AM32" i="20"/>
  <c r="I32" i="20"/>
  <c r="Q32" i="20"/>
  <c r="AE32" i="20"/>
  <c r="AZ32" i="20"/>
  <c r="O18" i="11"/>
  <c r="R32" i="20"/>
  <c r="L17" i="14" l="1"/>
  <c r="BF17" i="8"/>
  <c r="T31" i="8"/>
  <c r="R8" i="9"/>
  <c r="X12" i="21" s="1"/>
  <c r="R13" i="17"/>
  <c r="P13" i="14"/>
  <c r="BG17" i="13"/>
  <c r="BE17" i="13"/>
  <c r="AP17" i="20"/>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H9" i="16"/>
  <c r="V16" i="11"/>
  <c r="AZ18" i="11"/>
  <c r="BJ25" i="11"/>
  <c r="BW29" i="20"/>
  <c r="BI20" i="11"/>
  <c r="BH11" i="11"/>
  <c r="S18" i="17"/>
  <c r="BK22" i="11"/>
  <c r="BK23" i="11" s="1"/>
  <c r="X12" i="17"/>
  <c r="X22" i="16"/>
  <c r="X10" i="21"/>
  <c r="BF13" i="11"/>
  <c r="BH16" i="16"/>
  <c r="BF28" i="11"/>
  <c r="BG20" i="11"/>
  <c r="BK29" i="11"/>
  <c r="BK11" i="11"/>
  <c r="AP10" i="21"/>
  <c r="BH20" i="16"/>
  <c r="BH22" i="16"/>
  <c r="BJ20" i="11"/>
  <c r="BH13" i="11"/>
  <c r="BH18" i="11"/>
  <c r="AO28" i="17"/>
  <c r="AZ16" i="11"/>
  <c r="AZ23" i="11" s="1"/>
  <c r="AZ26" i="11" s="1"/>
  <c r="BW19" i="20"/>
  <c r="BW33" i="20" s="1"/>
  <c r="BU10" i="17"/>
  <c r="BU22" i="17"/>
  <c r="BU20" i="17"/>
  <c r="BW22" i="20"/>
  <c r="BW21" i="20"/>
  <c r="S28" i="17"/>
  <c r="T16" i="11"/>
  <c r="Q18" i="17"/>
  <c r="BH10" i="11"/>
  <c r="AQ10" i="21"/>
  <c r="AO29" i="17"/>
  <c r="S10" i="17"/>
  <c r="BI29" i="11"/>
  <c r="BG17" i="11"/>
  <c r="P17" i="11" s="1"/>
  <c r="BM21" i="11"/>
  <c r="AO25" i="17"/>
  <c r="BJ17" i="11"/>
  <c r="BL17" i="11"/>
  <c r="BH22" i="11"/>
  <c r="L22" i="2"/>
  <c r="S16" i="17"/>
  <c r="S17" i="17"/>
  <c r="X19" i="16"/>
  <c r="U9" i="17"/>
  <c r="U31" i="17" s="1"/>
  <c r="BG25" i="11"/>
  <c r="Q18" i="20"/>
  <c r="Q23" i="20" s="1"/>
  <c r="BF18" i="11"/>
  <c r="BG22" i="11"/>
  <c r="AZ19" i="11"/>
  <c r="V12" i="21"/>
  <c r="V14" i="21" s="1"/>
  <c r="V31" i="21" s="1"/>
  <c r="AP21" i="20"/>
  <c r="BJ11" i="11"/>
  <c r="R10" i="21"/>
  <c r="BG16" i="11"/>
  <c r="BL13" i="11"/>
  <c r="BM16" i="11"/>
  <c r="BU16" i="17"/>
  <c r="X20" i="16"/>
  <c r="BW25" i="20"/>
  <c r="U13" i="17"/>
  <c r="BV29" i="16"/>
  <c r="BV9" i="16"/>
  <c r="BV14" i="16" s="1"/>
  <c r="AZ17" i="11"/>
  <c r="BG12" i="11"/>
  <c r="BI9" i="11"/>
  <c r="BL28" i="11"/>
  <c r="BL10" i="11"/>
  <c r="BH10" i="16"/>
  <c r="BM9" i="11"/>
  <c r="BH12" i="16"/>
  <c r="L12" i="2"/>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Q28" i="11" l="1"/>
  <c r="U14" i="17"/>
  <c r="Q31" i="20"/>
  <c r="AQ17" i="11"/>
  <c r="P12" i="11"/>
  <c r="R14" i="21"/>
  <c r="R31" i="2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<sst xmlns="http://schemas.openxmlformats.org/spreadsheetml/2006/main" count="2682" uniqueCount="1193">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</sst>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eINEDBSUKkN11wYoxt8smUQk3kpQWPdzoPwdyL86tPA7JGASoNo1eDyNGbaLzg8ldcppvkpH7w3xgkAgURn+g==" saltValue="YM6uMs6160Cr5xPtWT3E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17.464615384615385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238</v>
      </c>
      <c r="D17" s="239">
        <f>IF(ISNUMBER(IF(D_I="SI",Datos!I17,Datos!I17+Datos!AC17)),IF(D_I="SI",Datos!I17,Datos!I17+Datos!AC17)," - ")</f>
        <v>238</v>
      </c>
      <c r="E17" s="240">
        <f>IF(ISNUMBER(IF(D_I="SI",Datos!J17,Datos!J17+Datos!AD17)),IF(D_I="SI",Datos!J17,Datos!J17+Datos!AD17)," - ")</f>
        <v>199</v>
      </c>
      <c r="F17" s="240">
        <f>IF(ISNUMBER(IF(D_I="SI",Datos!K17,Datos!K17+Datos!AE17)),IF(D_I="SI",Datos!K17,Datos!K17+Datos!AE17)," - ")</f>
        <v>219</v>
      </c>
      <c r="G17" s="1390" t="str">
        <f>IF(Datos!E17&lt;&gt;"",Datos!E17,Datos!D17)</f>
        <v>04</v>
      </c>
      <c r="H17" s="241">
        <f>IF(ISNUMBER(IF(D_I="SI",Datos!L17,Datos!L17+Datos!AF17)),IF(D_I="SI",Datos!L17,Datos!L17+Datos!AF17)," - ")</f>
        <v>218</v>
      </c>
      <c r="I17" s="1400" t="str">
        <f>IF(ISNUMBER(Datos!AS17/Datos!BM17),Datos!AS17/Datos!BM17," - ")</f>
        <v xml:space="preserve"> - </v>
      </c>
      <c r="J17" s="1401">
        <f>IF(ISNUMBER(Datos!BY17/Datos!CN17),Datos!BY17/Datos!CN17," - ")</f>
        <v>0</v>
      </c>
      <c r="K17" s="244">
        <f t="shared" si="3"/>
        <v>-8.4033613445378158E-2</v>
      </c>
      <c r="L17" s="1402">
        <f>IF(ISNUMBER(NºAsuntos!I17/NºAsuntos!G17),(NºAsuntos!I17/NºAsuntos!G17)*11," - ")</f>
        <v>10.949771689497716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14</v>
      </c>
      <c r="F18" s="240">
        <f>IF(ISNUMBER(IF(D_I="SI",Datos!K18,Datos!K18+Datos!AE18)),IF(D_I="SI",Datos!K18,Datos!K18+Datos!AE18)," - ")</f>
        <v>16</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246</v>
      </c>
      <c r="D23" s="1407">
        <f>SUBTOTAL(9,D16:D22)</f>
        <v>246</v>
      </c>
      <c r="E23" s="1408">
        <f>SUBTOTAL(9,E16:E22)</f>
        <v>213</v>
      </c>
      <c r="F23" s="1408">
        <f>SUBTOTAL(9,F16:F22)</f>
        <v>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252</v>
      </c>
      <c r="D31" s="1435">
        <f>SUBTOTAL(9,D9:D30)</f>
        <v>252</v>
      </c>
      <c r="E31" s="1436">
        <f>SUBTOTAL(9,E9:E30)</f>
        <v>213</v>
      </c>
      <c r="F31" s="1436">
        <f>SUBTOTAL(9,F9:F30)</f>
        <v>235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dEwfSMRyuMO8wsenbX8cxTzohrPnxyNvMLIW6Shan5zGPcHlbQjwKzAbiY7uMQpmLVPQJel3ksoMqKXYDEFNw==" saltValue="VwgzUnnoAyNK/Ysq++Zx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NY64VXcDlnXBg85lIaxkZ9dMsvsWQoUQR7nSBypEsQBAOJ9BVCqhi+Fa/a4B8Gc17g01x5ctEGbeRXU/hpYiQ==" saltValue="y9xSBAsVx2/4hSMI3bWq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0</v>
      </c>
      <c r="S10" s="194">
        <v>6</v>
      </c>
      <c r="T10" s="194">
        <v>3</v>
      </c>
      <c r="U10" s="194">
        <v>4</v>
      </c>
      <c r="V10" s="194">
        <v>5</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3</v>
      </c>
      <c r="BA10" s="139">
        <f t="shared" si="0"/>
        <v>4</v>
      </c>
      <c r="BB10" s="139">
        <f t="shared" si="0"/>
        <v>5</v>
      </c>
      <c r="BC10" s="135">
        <f t="shared" si="0"/>
        <v>2</v>
      </c>
      <c r="BD10" s="136">
        <f>IF(ISNUMBER(BA10/AZ10),BA10/AZ10," - ")</f>
        <v>1.3333333333333333</v>
      </c>
      <c r="BE10" s="137">
        <f>IF(ISNUMBER(BB10/BA10),BB10/BA10, " - ")</f>
        <v>1.25</v>
      </c>
      <c r="BF10" s="137">
        <f>IF(ISNUMBER(BC10/BA10),BC10/BA10, " - ")</f>
        <v>0.5</v>
      </c>
      <c r="BG10" s="209">
        <f>IF(ISNUMBER((AY10+AZ10)/BA10),(AY10+AZ10)/BA10," - ")</f>
        <v>2.25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456</v>
      </c>
      <c r="J12" s="196">
        <v>208</v>
      </c>
      <c r="K12" s="196">
        <v>258</v>
      </c>
      <c r="L12" s="196">
        <v>402</v>
      </c>
      <c r="M12" s="196">
        <v>82</v>
      </c>
      <c r="N12" s="196">
        <v>143</v>
      </c>
      <c r="O12" s="194">
        <v>139</v>
      </c>
      <c r="P12" s="196">
        <v>74</v>
      </c>
      <c r="Q12" s="196">
        <v>87</v>
      </c>
      <c r="R12" s="196">
        <v>750</v>
      </c>
      <c r="S12" s="196">
        <v>483</v>
      </c>
      <c r="T12" s="196">
        <v>218</v>
      </c>
      <c r="U12" s="196">
        <v>274</v>
      </c>
      <c r="V12" s="196">
        <v>427</v>
      </c>
      <c r="W12" s="196">
        <v>61</v>
      </c>
      <c r="X12" s="202">
        <v>156</v>
      </c>
      <c r="Y12" s="204">
        <v>149</v>
      </c>
      <c r="Z12" s="194">
        <v>36</v>
      </c>
      <c r="AA12" s="194">
        <v>67</v>
      </c>
      <c r="AB12" s="194">
        <v>114</v>
      </c>
      <c r="AC12" s="196">
        <v>0</v>
      </c>
      <c r="AD12" s="196">
        <v>0</v>
      </c>
      <c r="AE12" s="196">
        <v>0</v>
      </c>
      <c r="AF12" s="202">
        <v>0</v>
      </c>
      <c r="AG12" s="215">
        <v>97</v>
      </c>
      <c r="AH12" s="196">
        <v>53</v>
      </c>
      <c r="AI12" s="196">
        <v>60</v>
      </c>
      <c r="AJ12" s="216">
        <v>90</v>
      </c>
      <c r="AK12" s="195">
        <v>0</v>
      </c>
      <c r="AL12" s="196">
        <v>0</v>
      </c>
      <c r="AM12" s="196">
        <v>0</v>
      </c>
      <c r="AN12" s="202">
        <v>0</v>
      </c>
      <c r="AO12" s="283">
        <v>2</v>
      </c>
      <c r="AP12" s="168">
        <v>2</v>
      </c>
      <c r="AQ12" s="168">
        <v>2</v>
      </c>
      <c r="AR12" s="167">
        <v>2</v>
      </c>
      <c r="AS12" s="381" t="s">
        <v>1075</v>
      </c>
      <c r="AT12" s="216"/>
      <c r="AU12" s="215"/>
      <c r="AV12" s="216"/>
      <c r="AW12" s="215"/>
      <c r="AX12" s="216"/>
      <c r="AY12" s="136">
        <f t="shared" si="1"/>
        <v>580</v>
      </c>
      <c r="AZ12" s="137">
        <f t="shared" si="1"/>
        <v>271</v>
      </c>
      <c r="BA12" s="137">
        <f t="shared" si="1"/>
        <v>334</v>
      </c>
      <c r="BB12" s="137">
        <f t="shared" si="1"/>
        <v>517</v>
      </c>
      <c r="BC12" s="135">
        <f>IF(ISNUMBER(X12),X12," - ")</f>
        <v>156</v>
      </c>
      <c r="BD12" s="136">
        <f t="shared" si="2"/>
        <v>1.2324723247232472</v>
      </c>
      <c r="BE12" s="137">
        <f t="shared" si="3"/>
        <v>1.5479041916167664</v>
      </c>
      <c r="BF12" s="137">
        <f t="shared" si="4"/>
        <v>0.46706586826347307</v>
      </c>
      <c r="BG12" s="209">
        <f t="shared" si="5"/>
        <v>2.5479041916167664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208</v>
      </c>
      <c r="K14" s="197">
        <f t="shared" si="7"/>
        <v>258</v>
      </c>
      <c r="L14" s="197">
        <f t="shared" si="7"/>
        <v>408</v>
      </c>
      <c r="M14" s="197">
        <f t="shared" si="7"/>
        <v>82</v>
      </c>
      <c r="N14" s="197">
        <f t="shared" si="7"/>
        <v>143</v>
      </c>
      <c r="O14" s="197">
        <f t="shared" si="7"/>
        <v>139</v>
      </c>
      <c r="P14" s="197">
        <f t="shared" si="7"/>
        <v>74</v>
      </c>
      <c r="Q14" s="197">
        <f t="shared" si="7"/>
        <v>87</v>
      </c>
      <c r="R14" s="197">
        <f t="shared" si="7"/>
        <v>750</v>
      </c>
      <c r="S14" s="197">
        <f t="shared" si="7"/>
        <v>489</v>
      </c>
      <c r="T14" s="197">
        <f t="shared" si="7"/>
        <v>221</v>
      </c>
      <c r="U14" s="197">
        <f t="shared" si="7"/>
        <v>278</v>
      </c>
      <c r="V14" s="197">
        <f t="shared" si="7"/>
        <v>432</v>
      </c>
      <c r="W14" s="197">
        <f t="shared" si="7"/>
        <v>63</v>
      </c>
      <c r="X14" s="197">
        <f t="shared" si="7"/>
        <v>156</v>
      </c>
      <c r="Y14" s="197">
        <f t="shared" si="7"/>
        <v>149</v>
      </c>
      <c r="Z14" s="197">
        <f t="shared" si="7"/>
        <v>36</v>
      </c>
      <c r="AA14" s="197">
        <f t="shared" si="7"/>
        <v>67</v>
      </c>
      <c r="AB14" s="197">
        <f t="shared" si="7"/>
        <v>114</v>
      </c>
      <c r="AC14" s="197">
        <f t="shared" si="7"/>
        <v>0</v>
      </c>
      <c r="AD14" s="197">
        <f t="shared" si="7"/>
        <v>0</v>
      </c>
      <c r="AE14" s="197">
        <f t="shared" si="7"/>
        <v>0</v>
      </c>
      <c r="AF14" s="197">
        <f>SUBTOTAL(9,AF9:AF13)</f>
        <v>0</v>
      </c>
      <c r="AG14" s="197">
        <f t="shared" ref="AG14:AT14" si="8">SUBTOTAL(9,AG8:AG13)</f>
        <v>97</v>
      </c>
      <c r="AH14" s="197">
        <f t="shared" si="8"/>
        <v>53</v>
      </c>
      <c r="AI14" s="197">
        <f t="shared" si="8"/>
        <v>60</v>
      </c>
      <c r="AJ14" s="197">
        <f t="shared" si="8"/>
        <v>90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586</v>
      </c>
      <c r="AZ14" s="197">
        <f>SUBTOTAL(9,AZ8:AZ13)</f>
        <v>274</v>
      </c>
      <c r="BA14" s="197">
        <f>SUBTOTAL(9,BA8:BA13)</f>
        <v>338</v>
      </c>
      <c r="BB14" s="197">
        <f>SUBTOTAL(9,BB8:BB13)</f>
        <v>522</v>
      </c>
      <c r="BC14" s="197">
        <f>SUBTOTAL(9,BC8:BC13)</f>
        <v>158</v>
      </c>
      <c r="BD14" s="219">
        <f>IF(ISNUMBER(BA14/AZ14),BA14/AZ14," - ")</f>
        <v>1.2335766423357664</v>
      </c>
      <c r="BE14" s="220">
        <f>IF(ISNUMBER(BB14/BA14),BB14/BA14, " - ")</f>
        <v>1.544378698224852</v>
      </c>
      <c r="BF14" s="220">
        <f>IF(ISNUMBER(BC14/BA14),BC14/BA14, " - ")</f>
        <v>0.46745562130177515</v>
      </c>
      <c r="BG14" s="221">
        <f>IF(ISNUMBER((AY14+AZ14)/BA14),(AY14+AZ14)/BA14," - ")</f>
        <v>2.5443786982248522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238</v>
      </c>
      <c r="J17" s="196">
        <v>199</v>
      </c>
      <c r="K17" s="196">
        <v>219</v>
      </c>
      <c r="L17" s="196">
        <v>218</v>
      </c>
      <c r="M17" s="196">
        <v>45</v>
      </c>
      <c r="N17" s="196">
        <v>103</v>
      </c>
      <c r="O17" s="194">
        <v>6</v>
      </c>
      <c r="P17" s="196">
        <v>12</v>
      </c>
      <c r="Q17" s="196">
        <v>11</v>
      </c>
      <c r="R17" s="196">
        <v>29</v>
      </c>
      <c r="S17" s="196">
        <v>257</v>
      </c>
      <c r="T17" s="196">
        <v>172</v>
      </c>
      <c r="U17" s="196">
        <v>192</v>
      </c>
      <c r="V17" s="196">
        <v>237</v>
      </c>
      <c r="W17" s="196">
        <v>40</v>
      </c>
      <c r="X17" s="202">
        <v>103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257</v>
      </c>
      <c r="AZ17" s="137">
        <f t="shared" si="10"/>
        <v>172</v>
      </c>
      <c r="BA17" s="137">
        <f t="shared" si="10"/>
        <v>192</v>
      </c>
      <c r="BB17" s="137">
        <f t="shared" si="10"/>
        <v>237</v>
      </c>
      <c r="BC17" s="135">
        <f>IF(ISNUMBER(W17),W17," - ")</f>
        <v>40</v>
      </c>
      <c r="BD17" s="136">
        <f t="shared" ref="BD17:BD22" si="12">IF(ISNUMBER(BA17/AZ17),BA17/AZ17," - ")</f>
        <v>1.1162790697674418</v>
      </c>
      <c r="BE17" s="137">
        <f t="shared" ref="BE17:BE22" si="13">IF(ISNUMBER(BB17/BA17),BB17/BA17, " - ")</f>
        <v>1.234375</v>
      </c>
      <c r="BF17" s="137">
        <f t="shared" ref="BF17:BF22" si="14">IF(ISNUMBER(BC17/BA17),BC17/BA17, " - ")</f>
        <v>0.20833333333333334</v>
      </c>
      <c r="BG17" s="209">
        <f t="shared" si="11"/>
        <v>2.234375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14</v>
      </c>
      <c r="K18" s="196">
        <v>16</v>
      </c>
      <c r="L18" s="196">
        <v>6</v>
      </c>
      <c r="M18" s="196">
        <v>3</v>
      </c>
      <c r="N18" s="196">
        <v>8</v>
      </c>
      <c r="O18" s="196">
        <v>0</v>
      </c>
      <c r="P18" s="196">
        <v>0</v>
      </c>
      <c r="Q18" s="196">
        <v>2</v>
      </c>
      <c r="R18" s="196">
        <v>2</v>
      </c>
      <c r="S18" s="196">
        <v>13</v>
      </c>
      <c r="T18" s="196">
        <v>19</v>
      </c>
      <c r="U18" s="196">
        <v>21</v>
      </c>
      <c r="V18" s="196">
        <v>11</v>
      </c>
      <c r="W18" s="196">
        <v>5</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19</v>
      </c>
      <c r="BA18" s="139">
        <f t="shared" si="15"/>
        <v>21</v>
      </c>
      <c r="BB18" s="139">
        <f t="shared" si="15"/>
        <v>11</v>
      </c>
      <c r="BC18" s="135">
        <f>IF(ISNUMBER(W18),W18," - ")</f>
        <v>5</v>
      </c>
      <c r="BD18" s="136">
        <f>IF(ISNUMBER(BA18/AZ18),BA18/AZ18," - ")</f>
        <v>1.1052631578947369</v>
      </c>
      <c r="BE18" s="137">
        <f>IF(ISNUMBER(BB18/BA18),BB18/BA18, " - ")</f>
        <v>0.52380952380952384</v>
      </c>
      <c r="BF18" s="137">
        <f>IF(ISNUMBER(BC18/BA18),BC18/BA18, " - ")</f>
        <v>0.23809523809523808</v>
      </c>
      <c r="BG18" s="209">
        <f>IF(ISNUMBER((AY18+AZ18)/BA18),(AY18+AZ18)/BA18," - ")</f>
        <v>1.5238095238095237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246</v>
      </c>
      <c r="J23" s="197">
        <f t="shared" si="21"/>
        <v>213</v>
      </c>
      <c r="K23" s="197">
        <f t="shared" si="21"/>
        <v>235</v>
      </c>
      <c r="L23" s="197">
        <f t="shared" si="21"/>
        <v>224</v>
      </c>
      <c r="M23" s="197">
        <f t="shared" si="21"/>
        <v>48</v>
      </c>
      <c r="N23" s="197">
        <f t="shared" si="21"/>
        <v>111</v>
      </c>
      <c r="O23" s="197">
        <f t="shared" si="21"/>
        <v>6</v>
      </c>
      <c r="P23" s="197">
        <f t="shared" si="21"/>
        <v>12</v>
      </c>
      <c r="Q23" s="197">
        <f t="shared" si="21"/>
        <v>13</v>
      </c>
      <c r="R23" s="197">
        <f t="shared" si="21"/>
        <v>31</v>
      </c>
      <c r="S23" s="197">
        <f t="shared" si="21"/>
        <v>270</v>
      </c>
      <c r="T23" s="197">
        <f t="shared" si="21"/>
        <v>191</v>
      </c>
      <c r="U23" s="197">
        <f t="shared" si="21"/>
        <v>213</v>
      </c>
      <c r="V23" s="197">
        <f t="shared" si="21"/>
        <v>248</v>
      </c>
      <c r="W23" s="197">
        <f t="shared" si="21"/>
        <v>45</v>
      </c>
      <c r="X23" s="197">
        <f t="shared" si="21"/>
        <v>112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270</v>
      </c>
      <c r="AZ23" s="197">
        <f>SUBTOTAL(9,AZ15:AZ22)</f>
        <v>191</v>
      </c>
      <c r="BA23" s="197">
        <f>SUBTOTAL(9,BA15:BA22)</f>
        <v>213</v>
      </c>
      <c r="BB23" s="197">
        <f>SUBTOTAL(9,BB15:BB22)</f>
        <v>248</v>
      </c>
      <c r="BC23" s="197">
        <f>SUBTOTAL(9,BC15:BC22)</f>
        <v>45</v>
      </c>
      <c r="BD23" s="219">
        <f>IF(ISNUMBER(BA23/AZ23),BA23/AZ23," - ")</f>
        <v>1.1151832460732984</v>
      </c>
      <c r="BE23" s="220">
        <f>IF(ISNUMBER(BB23/BA23),BB23/BA23, " - ")</f>
        <v>1.164319248826291</v>
      </c>
      <c r="BF23" s="220">
        <f>IF(ISNUMBER(BC23/BA23),BC23/BA23, " - ")</f>
        <v>0.21126760563380281</v>
      </c>
      <c r="BG23" s="221">
        <f>IF(ISNUMBER((AY23+AZ23)/BA23),(AY23+AZ23)/BA23," - ")</f>
        <v>2.164319248826291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708</v>
      </c>
      <c r="J31" s="144">
        <f t="shared" si="36"/>
        <v>421</v>
      </c>
      <c r="K31" s="144">
        <f t="shared" si="36"/>
        <v>493</v>
      </c>
      <c r="L31" s="144">
        <f t="shared" si="36"/>
        <v>632</v>
      </c>
      <c r="M31" s="144">
        <f t="shared" si="36"/>
        <v>130</v>
      </c>
      <c r="N31" s="144">
        <f t="shared" si="36"/>
        <v>254</v>
      </c>
      <c r="O31" s="144">
        <f t="shared" si="36"/>
        <v>145</v>
      </c>
      <c r="P31" s="144">
        <f t="shared" si="36"/>
        <v>86</v>
      </c>
      <c r="Q31" s="144">
        <f t="shared" si="36"/>
        <v>100</v>
      </c>
      <c r="R31" s="144">
        <f t="shared" si="36"/>
        <v>781</v>
      </c>
      <c r="S31" s="144">
        <f t="shared" si="36"/>
        <v>759</v>
      </c>
      <c r="T31" s="144">
        <f t="shared" si="36"/>
        <v>412</v>
      </c>
      <c r="U31" s="144">
        <f t="shared" si="36"/>
        <v>491</v>
      </c>
      <c r="V31" s="144">
        <f t="shared" si="36"/>
        <v>680</v>
      </c>
      <c r="W31" s="144">
        <f t="shared" si="36"/>
        <v>108</v>
      </c>
      <c r="X31" s="144">
        <f t="shared" si="36"/>
        <v>268</v>
      </c>
      <c r="Y31" s="144">
        <f t="shared" si="36"/>
        <v>149</v>
      </c>
      <c r="Z31" s="144">
        <f t="shared" si="36"/>
        <v>36</v>
      </c>
      <c r="AA31" s="144">
        <f t="shared" si="36"/>
        <v>67</v>
      </c>
      <c r="AB31" s="144">
        <f t="shared" si="36"/>
        <v>114</v>
      </c>
      <c r="AC31" s="144">
        <f t="shared" si="36"/>
        <v>0</v>
      </c>
      <c r="AD31" s="144">
        <f t="shared" si="36"/>
        <v>0</v>
      </c>
      <c r="AE31" s="144">
        <f t="shared" si="36"/>
        <v>0</v>
      </c>
      <c r="AF31" s="144">
        <f t="shared" si="36"/>
        <v>0</v>
      </c>
      <c r="AG31" s="144">
        <f t="shared" si="36"/>
        <v>97</v>
      </c>
      <c r="AH31" s="144">
        <f t="shared" si="36"/>
        <v>53</v>
      </c>
      <c r="AI31" s="144">
        <f t="shared" si="36"/>
        <v>60</v>
      </c>
      <c r="AJ31" s="144">
        <f t="shared" si="36"/>
        <v>90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856</v>
      </c>
      <c r="AZ31" s="144">
        <f>SUBTOTAL(9,AZ9:AZ30)</f>
        <v>465</v>
      </c>
      <c r="BA31" s="144">
        <f>SUBTOTAL(9,BA9:BA30)</f>
        <v>551</v>
      </c>
      <c r="BB31" s="144">
        <f>SUBTOTAL(9,BB9:BB30)</f>
        <v>770</v>
      </c>
      <c r="BC31" s="145">
        <f>SUBTOTAL(9,BC9:BC30)</f>
        <v>203</v>
      </c>
      <c r="BD31" s="227">
        <f>IF(ISNUMBER(BA31/AZ31),BA31/AZ31," - ")</f>
        <v>1.1849462365591399</v>
      </c>
      <c r="BE31" s="224">
        <f>IF(ISNUMBER(BB31/BA31),BB31/BA31, " - ")</f>
        <v>1.3974591651542649</v>
      </c>
      <c r="BF31" s="224">
        <f>IF(ISNUMBER(BC31/BA31),BC31/BA31, " - ")</f>
        <v>0.36842105263157893</v>
      </c>
      <c r="BG31" s="145">
        <f>IF(ISNUMBER((AY31+AZ31)/BA31),(AY31+AZ31)/BA31," - ")</f>
        <v>2.3974591651542649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iomuwePy06wtcgIe2Z2RIhYWD06c0fPQrGgYMdqxoPgp6wVgZvlqmj4CYHYcqos3LcIpeFcvw2RyADT1futoA==" saltValue="F+7V0lR7E8MI53OQrqJq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bz/cZHJ3XpjwsBjRzNI3kt4oCAQLyLKQI5N+Ky5nB2Us8M54zPacPibgPbLAyjfY7qJewkYPU25XVHJM96fA==" saltValue="QV9u/adQDzuRz8cM+kZq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BARCO DE VALDEORRAS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750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1.3319672131147542</v>
      </c>
      <c r="BH12" s="764">
        <f>IF(ISNUMBER(((IF(J_V="SI",Datos!L12/Datos!K12,(Datos!L12+Datos!AB12)/(Datos!K12+Datos!AA12)))*11)/factor_trimestre),((IF(J_V="SI",Datos!L12/Datos!K12,(Datos!L12+Datos!AB12)/(Datos!K12+Datos!AA12)))*11)/factor_trimestre," - ")</f>
        <v>4.7630769230769232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-1.7038007863695939E-2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87</v>
      </c>
      <c r="AD14" s="1198">
        <f t="shared" si="2"/>
        <v>0</v>
      </c>
      <c r="AE14" s="1198">
        <f t="shared" si="2"/>
        <v>0</v>
      </c>
      <c r="AF14" s="1198">
        <f t="shared" si="2"/>
        <v>6</v>
      </c>
      <c r="AG14" s="1198">
        <f t="shared" si="2"/>
        <v>0</v>
      </c>
      <c r="AH14" s="1198">
        <f t="shared" si="2"/>
        <v>114</v>
      </c>
      <c r="AI14" s="1198">
        <f t="shared" si="2"/>
        <v>0</v>
      </c>
      <c r="AJ14" s="1198">
        <f t="shared" si="2"/>
        <v>0</v>
      </c>
      <c r="AK14" s="1198">
        <f t="shared" si="2"/>
        <v>0</v>
      </c>
      <c r="AL14" s="1198">
        <f t="shared" si="2"/>
        <v>0</v>
      </c>
      <c r="AM14" s="1198">
        <f t="shared" si="2"/>
        <v>750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143</v>
      </c>
      <c r="BE14" s="1198">
        <f t="shared" si="2"/>
        <v>0</v>
      </c>
      <c r="BF14" s="1198">
        <f t="shared" si="2"/>
        <v>0</v>
      </c>
      <c r="BG14" s="1198">
        <f>IF(ISNUMBER(Datos!K14/Datos!J14),Datos!K14/Datos!J14," - ")</f>
        <v>1.2403846153846154</v>
      </c>
      <c r="BH14" s="1202">
        <f>IF(ISNUMBER(((Datos!L14/Datos!K14)*11)/factor_trimestre),((Datos!L14/Datos!K14)*11)/factor_trimestre," - ")</f>
        <v>4.7441860465116275</v>
      </c>
      <c r="BI14" s="1198">
        <f>IF(ISNUMBER('Resol  Asuntos'!D14/NºAsuntos!G14),'Resol  Asuntos'!D14/NºAsuntos!G14," - ")</f>
        <v>0.25230769230769229</v>
      </c>
      <c r="BJ14" s="1198" t="str">
        <f>IF(ISNUMBER(Datos!CI14/Datos!CJ14),Datos!CI14/Datos!CJ14," - ")</f>
        <v xml:space="preserve"> - </v>
      </c>
      <c r="BK14" s="1198">
        <f>SUBTOTAL(9,BK8:BK13)</f>
        <v>0</v>
      </c>
      <c r="BL14" s="1198">
        <f>IF(ISNUMBER((I14-AB14+L14)/(F14)),(I14-AB14+L14)/(F14)," - ")</f>
        <v>0</v>
      </c>
      <c r="BM14" s="1203">
        <f>SUBTOTAL(9,BM9:BM13)</f>
        <v>-1.7038007863695939E-2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238</v>
      </c>
      <c r="G17" s="743">
        <f>IF(ISNUMBER(IF(D_I="SI",Datos!I17,Datos!I17+Datos!AC17)),IF(D_I="SI",Datos!I17,Datos!I17+Datos!AC17)," - ")</f>
        <v>238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219</v>
      </c>
      <c r="AC17" s="240">
        <f>IF(ISNUMBER(Datos!Q17),Datos!Q17," - ")</f>
        <v>11</v>
      </c>
      <c r="AD17" s="374"/>
      <c r="AE17" s="562"/>
      <c r="AF17" s="741">
        <f>IF(ISNUMBER(IF(D_I="SI",Datos!L17,Datos!L17+Datos!AF17)),IF(D_I="SI",Datos!L17,Datos!L17+Datos!AF17)," - ")</f>
        <v>218</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1.1005025125628141</v>
      </c>
      <c r="BH17" s="764">
        <f>IF(ISNUMBER(((IF(D_I="SI",Datos!L17/Datos!K17,(Datos!L17+Datos!AF17)/(Datos!K17+Datos!AE17)))*11)/factor_trimestre),((IF(D_I="SI",Datos!L17/Datos!K17,(Datos!L17+Datos!AF17)/(Datos!K17+Datos!AE17)))*11)/factor_trimestre," - ")</f>
        <v>2.9863013698630136</v>
      </c>
      <c r="BI17" s="266">
        <f>IF(ISNUMBER('Resol  Asuntos'!D17/NºAsuntos!G17),'Resol  Asuntos'!D17/NºAsuntos!G17," - ")</f>
        <v>0.20547945205479451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2</v>
      </c>
      <c r="AD18" s="549"/>
      <c r="AE18" s="562"/>
      <c r="AF18" s="551">
        <f>IF(ISNUMBER(Datos!L18),Datos!L18,"-")</f>
        <v>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1.1428571428571428</v>
      </c>
      <c r="BH18" s="764">
        <f>IF(ISNUMBER(((IF(D_I="SI",Datos!L18/Datos!K18,(Datos!L18+Datos!AF18)/(Datos!K18+Datos!AE18)))*11)/factor_trimestre),((IF(D_I="SI",Datos!L18/Datos!K18,(Datos!L18+Datos!AF18)/(Datos!K18+Datos!AE18)))*11)/factor_trimestre," - ")</f>
        <v>1.125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238</v>
      </c>
      <c r="G23" s="1197">
        <f>SUBTOTAL(9,G16:G22)</f>
        <v>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v>
      </c>
      <c r="AC23" s="1198">
        <f t="shared" si="5"/>
        <v>13</v>
      </c>
      <c r="AD23" s="1198">
        <f t="shared" si="5"/>
        <v>0</v>
      </c>
      <c r="AE23" s="1198">
        <f t="shared" si="5"/>
        <v>0</v>
      </c>
      <c r="AF23" s="1198">
        <f t="shared" si="5"/>
        <v>224</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111</v>
      </c>
      <c r="BE23" s="1198">
        <f t="shared" si="5"/>
        <v>0</v>
      </c>
      <c r="BF23" s="1198">
        <f t="shared" si="5"/>
        <v>0</v>
      </c>
      <c r="BG23" s="1198">
        <f>IF(ISNUMBER(Datos!K23/Datos!J23),Datos!K23/Datos!J23," - ")</f>
        <v>1.1032863849765258</v>
      </c>
      <c r="BH23" s="1202">
        <f>IF(ISNUMBER(((Datos!L23/Datos!K23)*11)/factor_trimestre),((Datos!L23/Datos!K23)*11)/factor_trimestre," - ")</f>
        <v>2.859574468085107</v>
      </c>
      <c r="BI23" s="1198">
        <f>SUBTOTAL(9,BI16:BI22)</f>
        <v>0.39297945205479451</v>
      </c>
      <c r="BJ23" s="1198">
        <f>SUBTOTAL(9,BJ16:BJ22)</f>
        <v>0</v>
      </c>
      <c r="BK23" s="1198">
        <f>SUBTOTAL(9,BK16:BK22)</f>
        <v>0</v>
      </c>
      <c r="BL23" s="1198">
        <f>IF(ISNUMBER((I23-AB23+L23)/(F23)),(I23-AB23+L23)/(F23)," - ")</f>
        <v>-0.98739495798319332</v>
      </c>
      <c r="BM23" s="1205">
        <f>IF(ISNUMBER((Datos!P23-Datos!Q23)/(Datos!R23-Datos!P23+Datos!Q23)),(Datos!P23-Datos!Q23)/(Datos!R23-Datos!P23+Datos!Q23)," - ")</f>
        <v>-3.125E-2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244</v>
      </c>
      <c r="G31" s="1117">
        <f t="shared" si="18"/>
        <v>252</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235</v>
      </c>
      <c r="AC31" s="1118">
        <f t="shared" si="19"/>
        <v>100</v>
      </c>
      <c r="AD31" s="1118">
        <f t="shared" si="19"/>
        <v>0</v>
      </c>
      <c r="AE31" s="1118">
        <f t="shared" si="19"/>
        <v>0</v>
      </c>
      <c r="AF31" s="1125">
        <f t="shared" si="19"/>
        <v>230</v>
      </c>
      <c r="AG31" s="1125">
        <f t="shared" si="19"/>
        <v>0</v>
      </c>
      <c r="AH31" s="1125">
        <f t="shared" si="19"/>
        <v>114</v>
      </c>
      <c r="AI31" s="1125">
        <f t="shared" si="19"/>
        <v>0</v>
      </c>
      <c r="AJ31" s="1118">
        <f t="shared" si="19"/>
        <v>0</v>
      </c>
      <c r="AK31" s="1125">
        <f t="shared" si="19"/>
        <v>0</v>
      </c>
      <c r="AL31" s="1125">
        <f t="shared" si="19"/>
        <v>0</v>
      </c>
      <c r="AM31" s="1125">
        <f t="shared" si="19"/>
        <v>781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254</v>
      </c>
      <c r="BE31" s="1117">
        <f t="shared" si="19"/>
        <v>0</v>
      </c>
      <c r="BF31" s="1127">
        <f t="shared" si="19"/>
        <v>0</v>
      </c>
      <c r="BG31" s="1223">
        <f>IF(ISNUMBER(Datos!K31/Datos!J31),Datos!K31/Datos!J31," - ")</f>
        <v>1.1710213776722089</v>
      </c>
      <c r="BH31" s="1223">
        <f>IF(ISNUMBER(((Datos!L31/Datos!K31)*11)/factor_trimestre),((Datos!L31/Datos!K31)*11)/factor_trimestre," - ")</f>
        <v>3.8458417849898585</v>
      </c>
      <c r="BI31" s="1103">
        <f>IF(ISNUMBER(Datos!J31/Datos!I31),Datos!J31/Datos!I31," - ")</f>
        <v>0.59463276836158196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-0.96311475409836067</v>
      </c>
      <c r="BM31" s="1188">
        <f>IF(ISNUMBER((Datos!P31-Datos!Q31+R31)/(Datos!R31-Datos!P31+Datos!Q31-R31)),(Datos!P31-Datos!Q31+R31)/(Datos!R31-Datos!P31+Datos!Q31-R31)," - ")</f>
        <v>-1.7610062893081761E-2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121.38313996048491</v>
      </c>
      <c r="G33" s="674">
        <f>IF(ISNUMBER(STDEV(G8:G30)),STDEV(G8:G30),"-")</f>
        <v>116.19523799766208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109.45688431437067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36.520053199773486</v>
      </c>
      <c r="BD33" s="673"/>
      <c r="BE33" s="673">
        <f>IF(ISNUMBER(STDEV(BE8:BE30)),STDEV(BE8:BE30),"-")</f>
        <v>0</v>
      </c>
      <c r="BF33" s="678">
        <f>IF(ISNUMBER(STDEV(BF8:BF30)),STDEV(BF8:BF30),"-")</f>
        <v>0</v>
      </c>
      <c r="BG33" s="1052">
        <f>IF(ISNUMBER(STDEV(BG8:BG30)),STDEV(BG8:BG30),"-")</f>
        <v>0.10031521931893772</v>
      </c>
      <c r="BH33" s="1058">
        <f>IF(ISNUMBER(STDEV(BH8:BH30)),STDEV(BH8:BH30),"-")</f>
        <v>1.5206230891598569</v>
      </c>
      <c r="BI33" s="273">
        <f>IF(ISNUMBER(STDEV(BI8:BI30)),STDEV(BI8:BI30),"-")</f>
        <v>9.3042454902187655E-2</v>
      </c>
      <c r="BJ33" s="244" t="str">
        <f>IF(ISNUMBER(BL33/BM33),BL33/BM33," - ")</f>
        <v xml:space="preserve"> - </v>
      </c>
      <c r="BK33" s="709"/>
      <c r="BL33" s="681">
        <f>IF(ISNUMBER(STDEV(BL8:BL30)),STDEV(BL8:BL30),"-")</f>
        <v>0.69819367049932213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Lj1HJROpMLd/pL2GEflUY9M6RjTm3AI8qQOj6DxE76E1wcrUkaRwe5Y5thLTT3isXRgcvWHN9Qm6NcE08+Akw==" saltValue="JF+TJEh4uwFd+/pnZYBe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BARCO DE VALDEORRAS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750</v>
      </c>
      <c r="AF12" s="693" t="str">
        <f>IF(ISNUMBER(Datos!BV12),Datos!BV12," - ")</f>
        <v xml:space="preserve"> - </v>
      </c>
      <c r="AG12" s="552" t="str">
        <f>IF(ISNUMBER(Datos!DV12),Datos!DV12," - ")</f>
        <v xml:space="preserve"> - </v>
      </c>
      <c r="AH12" s="553"/>
      <c r="AI12" s="554"/>
      <c r="AJ12" s="552">
        <f>IF(ISNUMBER(Datos!M12),Datos!M12," - ")</f>
        <v>82</v>
      </c>
      <c r="AK12" s="693">
        <f>IF(ISNUMBER(Datos!N12),Datos!N12," - ")</f>
        <v>143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4.7630769230769232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-1.7038007863695939E-2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87</v>
      </c>
      <c r="AA14" s="1199">
        <f t="shared" si="3"/>
        <v>6</v>
      </c>
      <c r="AB14" s="1199">
        <f t="shared" si="3"/>
        <v>0</v>
      </c>
      <c r="AC14" s="1199">
        <f t="shared" si="3"/>
        <v>0</v>
      </c>
      <c r="AD14" s="1199">
        <f t="shared" si="3"/>
        <v>0</v>
      </c>
      <c r="AE14" s="1199">
        <f t="shared" si="3"/>
        <v>750</v>
      </c>
      <c r="AF14" s="1211">
        <f t="shared" si="3"/>
        <v>0</v>
      </c>
      <c r="AG14" s="1211">
        <f t="shared" si="3"/>
        <v>0</v>
      </c>
      <c r="AH14" s="1211">
        <f t="shared" si="3"/>
        <v>0</v>
      </c>
      <c r="AI14" s="1211">
        <f t="shared" si="3"/>
        <v>0</v>
      </c>
      <c r="AJ14" s="1211">
        <f t="shared" si="3"/>
        <v>82</v>
      </c>
      <c r="AK14" s="1211">
        <f t="shared" si="3"/>
        <v>143</v>
      </c>
      <c r="AL14" s="1211">
        <f t="shared" si="3"/>
        <v>0</v>
      </c>
      <c r="AM14" s="1211">
        <f t="shared" si="3"/>
        <v>0</v>
      </c>
      <c r="AN14" s="1211">
        <f t="shared" si="3"/>
        <v>0</v>
      </c>
      <c r="AO14" s="1203">
        <f>IF(ISNUMBER(((NºAsuntos!I14/NºAsuntos!G14)*11)/factor_trimestre),((NºAsuntos!I14/NºAsuntos!G14)*11)/factor_trimestre," - ")</f>
        <v>4.8184615384615386</v>
      </c>
      <c r="AP14" s="1213" t="str">
        <f>IF(ISNUMBER(Datos!CI14/Datos!CJ14),Datos!CI14/Datos!CJ14," - ")</f>
        <v xml:space="preserve"> - </v>
      </c>
      <c r="AQ14" s="1236">
        <f t="shared" ref="AQ14:AV14" si="4">SUBTOTAL(9,AQ9:AQ13)</f>
        <v>0</v>
      </c>
      <c r="AR14" s="1236">
        <f t="shared" si="4"/>
        <v>-1.7038007863695939E-2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238</v>
      </c>
      <c r="G17" s="552">
        <f>IF(ISNUMBER(IF(D_I="SI",Datos!I17,Datos!I17+Datos!AC17)),IF(D_I="SI",Datos!I17,Datos!I17+Datos!AC17)," - ")</f>
        <v>238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219</v>
      </c>
      <c r="Z17" s="805">
        <f>IF(ISNUMBER(Datos!Q17),Datos!Q17," - ")</f>
        <v>11</v>
      </c>
      <c r="AA17" s="551">
        <f>IF(ISNUMBER(IF(D_I="SI",Datos!L17,Datos!L17+Datos!AF17)),IF(D_I="SI",Datos!L17,Datos!L17+Datos!AF17)," - ")</f>
        <v>218</v>
      </c>
      <c r="AB17" s="549"/>
      <c r="AC17" s="549"/>
      <c r="AD17" s="563"/>
      <c r="AE17" s="563">
        <f>IF(ISNUMBER(Datos!R17),Datos!R17," - ")</f>
        <v>29</v>
      </c>
      <c r="AF17" s="693" t="str">
        <f>IF(ISNUMBER(Datos!BV17),Datos!BV17," - ")</f>
        <v xml:space="preserve"> - </v>
      </c>
      <c r="AG17" s="552"/>
      <c r="AH17" s="553"/>
      <c r="AI17" s="554"/>
      <c r="AJ17" s="552">
        <f>IF(ISNUMBER(Datos!M17),Datos!M17," - ")</f>
        <v>45</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2.9863013698630136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2</v>
      </c>
      <c r="AA18" s="551">
        <f>IF(ISNUMBER(Datos!L18),Datos!L18,"-")</f>
        <v>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238</v>
      </c>
      <c r="G23" s="1197">
        <f>SUBTOTAL(9,G16:G22)</f>
        <v>246</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v>
      </c>
      <c r="Z23" s="1240">
        <f t="shared" si="6"/>
        <v>13</v>
      </c>
      <c r="AA23" s="1240">
        <f t="shared" si="6"/>
        <v>224</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48</v>
      </c>
      <c r="AK23" s="1240">
        <f t="shared" si="6"/>
        <v>111</v>
      </c>
      <c r="AL23" s="1240">
        <f t="shared" si="6"/>
        <v>0</v>
      </c>
      <c r="AM23" s="1240">
        <f t="shared" si="6"/>
        <v>0</v>
      </c>
      <c r="AN23" s="1240">
        <f t="shared" si="6"/>
        <v>0</v>
      </c>
      <c r="AO23" s="1242">
        <f>IF(ISNUMBER(((NºAsuntos!I23/NºAsuntos!G23)*11)/factor_trimestre),((NºAsuntos!I23/NºAsuntos!G23)*11)/factor_trimestre," - ")</f>
        <v>2.859574468085107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244</v>
      </c>
      <c r="G31" s="1117">
        <f t="shared" si="12"/>
        <v>252</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235</v>
      </c>
      <c r="Z31" s="1124">
        <f t="shared" si="13"/>
        <v>100</v>
      </c>
      <c r="AA31" s="1125">
        <f t="shared" si="13"/>
        <v>230</v>
      </c>
      <c r="AB31" s="1125">
        <f t="shared" si="13"/>
        <v>0</v>
      </c>
      <c r="AC31" s="1125">
        <f t="shared" si="13"/>
        <v>0</v>
      </c>
      <c r="AD31" s="1126">
        <f t="shared" si="13"/>
        <v>0</v>
      </c>
      <c r="AE31" s="1126">
        <f t="shared" si="13"/>
        <v>781</v>
      </c>
      <c r="AF31" s="1127">
        <f t="shared" si="13"/>
        <v>0</v>
      </c>
      <c r="AG31" s="1128">
        <f t="shared" si="13"/>
        <v>0</v>
      </c>
      <c r="AH31" s="1129">
        <f t="shared" si="13"/>
        <v>0</v>
      </c>
      <c r="AI31" s="1127">
        <f t="shared" si="13"/>
        <v>0</v>
      </c>
      <c r="AJ31" s="1117">
        <f t="shared" si="13"/>
        <v>130</v>
      </c>
      <c r="AK31" s="1117">
        <f t="shared" si="13"/>
        <v>254</v>
      </c>
      <c r="AL31" s="1117">
        <f t="shared" si="13"/>
        <v>0</v>
      </c>
      <c r="AM31" s="1130">
        <f t="shared" si="13"/>
        <v>0</v>
      </c>
      <c r="AN31" s="1120">
        <f>IF(ISNUMBER(Datos!K31/Datos!J31),Datos!K31/Datos!J31," - ")</f>
        <v>1.1710213776722089</v>
      </c>
      <c r="AO31" s="1120">
        <f>IF(ISNUMBER(FIND("06",Criterios!A8,1)),(IF(ISNUMBER(((Datos!R31/Datos!Q31)*11)/factor_trimestre),((Datos!R31/Datos!Q31)*11)/factor_trimestre," - ")),(IF(ISNUMBER(((Datos!L31/Datos!K31)*11)/factor_trimestre),((Datos!L31/Datos!K31)*11)/factor_trimestre," - ")))</f>
        <v>3.8458417849898585</v>
      </c>
      <c r="AP31" s="1131" t="str">
        <f>IF(ISNUMBER(Datos!CI31/Datos!CJ31),Datos!CI31/Datos!CJ31," - ")</f>
        <v xml:space="preserve"> - </v>
      </c>
      <c r="AQ31" s="1131">
        <f>IF(OR(ISNUMBER(FIND("01",Criterios!A8,1)),ISNUMBER(FIND("02",Criterios!A8,1)),ISNUMBER(FIND("03",Criterios!A8,1)),ISNUMBER(FIND("04",Criterios!A8,1))),(J31-Y31+K31)/(F31-K31),(I31-Y31+K31)/(F31-K31))</f>
        <v>-0.96311475409836067</v>
      </c>
      <c r="AR31" s="1131">
        <f>IF(ISNUMBER((Datos!P31-Datos!Q31+O31)/(Datos!R31-Datos!P31+Datos!Q31-O31)),(Datos!P31-Datos!Q31+O31)/(Datos!R31-Datos!P31+Datos!Q31-O31)," - ")</f>
        <v>-1.7610062893081761E-2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121.38313996048491</v>
      </c>
      <c r="G33" s="674">
        <f>IF(ISNUMBER(STDEV(G8:G30)),STDEV(G8:G30),"-")</f>
        <v>116.19523799766208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36.520053199773486</v>
      </c>
      <c r="AK33" s="276"/>
      <c r="AL33" s="276">
        <f>IF(ISNUMBER(STDEV(AL8:AL30)),STDEV(AL8:AL30),"-")</f>
        <v>0</v>
      </c>
      <c r="AM33" s="278">
        <f>IF(ISNUMBER(STDEV(AM8:AM30)),STDEV(AM8:AM30),"-")</f>
        <v>0</v>
      </c>
      <c r="AN33" s="660">
        <f>IF(ISNUMBER(STDEV(AN8:AN30)),STDEV(AN8:AN30),"-")</f>
        <v>0</v>
      </c>
      <c r="AO33" s="661">
        <f>IF(ISNUMBER(STDEV(AO8:AO30)),STDEV(AO8:AO30),"-")</f>
        <v>1.5385688605471513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l7PxTU13ByUzKVJMxKtKoi5iC1dD/aD0XJEZ6sxbObWihPcVIsV0i/6ILV12X5HwKjpD/pXwntVIktxKS9bAw==" saltValue="MVACWAwoy1AdrntkZ4h4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14eslD0nMaCSuSo5kNI3uNPlAGctSOEOT/H39daMBe00aXl1hCg7/BTscyoeZP4lJYKfBpRfLaGBCw9+S1rqw==" saltValue="2bRHqMTZ/8xngGeZfFrz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3Wt+gQPKdvSJ61/OTd8Fru9HO8+eO2Wrr1jcpb8WgIVBPBgrwu8tF8mIcf7ol6z0P499n2HwX3YkUGp2Nkjlg==" saltValue="XW7/haLGcXU0qbrWzFLB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BARCO DE VALDEORRAS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0.25230769230769229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0.17840848017629812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uUtYaHBVDSFhrRVAcz18k4LQNrKXRemP+bdTN3qE1oBgxy3tej+8TybiMNdxo2fWR8zPrfFEGN7431xclvKcQ==" saltValue="yq0ImqDT6C7pLvRhga/L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kYt2xd0uwX7kFyq5ahLmgejy6ek2vjlnjG5e8XvElM2DAKb4RWoHe2yT92gyy2rhCjwPCDpdTTVwSTJmpYssg==" saltValue="Ka32F4NzFZpvOh1Vi4sO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BARCO DE VALDEORRAS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605</v>
      </c>
      <c r="D12" s="452">
        <f>IF(ISNUMBER(C12/Datos!BH12),C12/Datos!BH12," - ")</f>
        <v>302.5</v>
      </c>
      <c r="E12" s="451">
        <f>IF(ISNUMBER(IF(J_V="SI",Datos!J12,Datos!J12+Datos!Z12)),IF(J_V="SI",Datos!J12,Datos!J12+Datos!Z12)," - ")</f>
        <v>244</v>
      </c>
      <c r="F12" s="452">
        <f>IF(ISNUMBER(E12/B12),E12/B12," - ")</f>
        <v>122</v>
      </c>
      <c r="G12" s="451">
        <f>IF(ISNUMBER(IF(J_V="SI",Datos!K12,Datos!K12+Datos!AA12)),IF(J_V="SI",Datos!K12,Datos!K12+Datos!AA12)," - ")</f>
        <v>325</v>
      </c>
      <c r="H12" s="452">
        <f>IF(ISNUMBER(G12/B12),G12/B12," - ")</f>
        <v>162.5</v>
      </c>
      <c r="I12" s="451">
        <f>IF(ISNUMBER(IF(J_V="SI",Datos!L12,Datos!L12+Datos!AB12)),IF(J_V="SI",Datos!L12,Datos!L12+Datos!AB12)," - ")</f>
        <v>516</v>
      </c>
      <c r="J12" s="452">
        <f>IF(ISNUMBER(I12/B12),I12/B12," - ")</f>
        <v>258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611</v>
      </c>
      <c r="D14" s="1147" t="str">
        <f>IF(ISNUMBER(C14/Datos!BI14),C14/Datos!BI14," - ")</f>
        <v xml:space="preserve"> - </v>
      </c>
      <c r="E14" s="1146">
        <f>SUBTOTAL(9,E8:E13)</f>
        <v>244</v>
      </c>
      <c r="F14" s="1147">
        <f>IF(ISNUMBER(E14/B14),E14/B14," - ")</f>
        <v>122</v>
      </c>
      <c r="G14" s="1146">
        <f>SUBTOTAL(9,G8:G13)</f>
        <v>325</v>
      </c>
      <c r="H14" s="1147">
        <f>IF(ISNUMBER(G14/B14),G14/B14," - ")</f>
        <v>162.5</v>
      </c>
      <c r="I14" s="1146">
        <f>SUBTOTAL(9,I8:I13)</f>
        <v>522</v>
      </c>
      <c r="J14" s="1147">
        <f>IF(ISNUMBER(I14/B14),I14/B14," - ")</f>
        <v>261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238</v>
      </c>
      <c r="D17" s="452">
        <f>IF(ISNUMBER(C17/Datos!BH17),C17/Datos!BH17," - ")</f>
        <v>119</v>
      </c>
      <c r="E17" s="451">
        <f>IF(ISNUMBER(IF(D_I="SI",Datos!J17,Datos!J17+Datos!AD17)),IF(D_I="SI",Datos!J17,Datos!J17+Datos!AD17)," - ")</f>
        <v>199</v>
      </c>
      <c r="F17" s="452">
        <f>IF(ISNUMBER(E17/B17),E17/B17," - ")</f>
        <v>99.5</v>
      </c>
      <c r="G17" s="451">
        <f>IF(ISNUMBER(IF(D_I="SI",Datos!K17,Datos!K17+Datos!AE17)),IF(D_I="SI",Datos!K17,Datos!K17+Datos!AE17)," - ")</f>
        <v>219</v>
      </c>
      <c r="H17" s="452">
        <f>IF(ISNUMBER(G17/B17),G17/B17," - ")</f>
        <v>109.5</v>
      </c>
      <c r="I17" s="451">
        <f>IF(ISNUMBER(IF(D_I="SI",Datos!L17,Datos!L17+Datos!AF17)),IF(D_I="SI",Datos!L17,Datos!L17+Datos!AF17)," - ")</f>
        <v>218</v>
      </c>
      <c r="J17" s="452">
        <f>IF(ISNUMBER(I17/B17),I17/B17," - ")</f>
        <v>109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14</v>
      </c>
      <c r="F18" s="452">
        <f>IF(ISNUMBER(E18/B18),E18/B18," - ")</f>
        <v>14</v>
      </c>
      <c r="G18" s="451">
        <f>IF(ISNUMBER(IF(D_I="SI",Datos!K18,Datos!K18+Datos!AE18)),IF(D_I="SI",Datos!K18,Datos!K18+Datos!AE18)," - ")</f>
        <v>16</v>
      </c>
      <c r="H18" s="452">
        <f>IF(ISNUMBER(G18/B18),G18/B18," - ")</f>
        <v>16</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246</v>
      </c>
      <c r="D23" s="1147" t="str">
        <f>IF(ISNUMBER(C23/Datos!BI23),C23/Datos!BI23," - ")</f>
        <v xml:space="preserve"> - </v>
      </c>
      <c r="E23" s="1146">
        <f>SUBTOTAL(9,E15:E22)</f>
        <v>213</v>
      </c>
      <c r="F23" s="1147">
        <f>IF(ISNUMBER(E23/B23),E23/B23," - ")</f>
        <v>106.5</v>
      </c>
      <c r="G23" s="1146">
        <f>SUBTOTAL(9,G15:G22)</f>
        <v>235</v>
      </c>
      <c r="H23" s="1147">
        <f>IF(ISNUMBER(G23/B23),G23/B23," - ")</f>
        <v>117.5</v>
      </c>
      <c r="I23" s="1146">
        <f>SUBTOTAL(9,I15:I22)</f>
        <v>224</v>
      </c>
      <c r="J23" s="1147">
        <f>IF(ISNUMBER(I23/B23),I23/B23," - ")</f>
        <v>112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857</v>
      </c>
      <c r="D31" s="1085" t="str">
        <f>IF(ISNUMBER(C31/Datos!BI31),C31/Datos!BI31," - ")</f>
        <v xml:space="preserve"> - </v>
      </c>
      <c r="E31" s="1084">
        <f>SUBTOTAL(9,E9:E30)</f>
        <v>457</v>
      </c>
      <c r="F31" s="1085">
        <f>IF(ISNUMBER(E31/B31),E31/B31," - ")</f>
        <v>228.5</v>
      </c>
      <c r="G31" s="1084">
        <f>SUBTOTAL(9,G9:G30)</f>
        <v>560</v>
      </c>
      <c r="H31" s="1085">
        <f>IF(ISNUMBER(G31/B31),G31/B31," - ")</f>
        <v>280</v>
      </c>
      <c r="I31" s="1084">
        <f>SUBTOTAL(9,I9:I30)</f>
        <v>746</v>
      </c>
      <c r="J31" s="1085">
        <f>IF(ISNUMBER(I31/B31),I31/B31," - ")</f>
        <v>373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NsIW9paHm325L4VMjfsgHyeRe14BNQX3Ix1Qm5juiAIoVr4e7YSAFqI0Fs11zKOKfKsMjPkRqPBawvJSO03MQ==" saltValue="DEMj+qvpB8H7klzJZm7G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BARCO DE VALDEORRAS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4.7630769230769232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-1.7038007863695939E-2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87</v>
      </c>
      <c r="AE14" s="1257">
        <f t="shared" si="1"/>
        <v>0</v>
      </c>
      <c r="AF14" s="1257">
        <f t="shared" si="1"/>
        <v>6</v>
      </c>
      <c r="AG14" s="1257">
        <f t="shared" si="1"/>
        <v>0</v>
      </c>
      <c r="AH14" s="1257">
        <f t="shared" si="1"/>
        <v>750</v>
      </c>
      <c r="AI14" s="1257">
        <f t="shared" si="1"/>
        <v>0</v>
      </c>
      <c r="AJ14" s="1257">
        <f t="shared" si="1"/>
        <v>0</v>
      </c>
      <c r="AK14" s="1257">
        <f t="shared" si="1"/>
        <v>0</v>
      </c>
      <c r="AL14" s="1257">
        <f t="shared" si="1"/>
        <v>82</v>
      </c>
      <c r="AM14" s="1257">
        <f t="shared" si="1"/>
        <v>143</v>
      </c>
      <c r="AN14" s="1257">
        <f t="shared" si="1"/>
        <v>0</v>
      </c>
      <c r="AO14" s="1257">
        <f t="shared" si="1"/>
        <v>0</v>
      </c>
      <c r="AP14" s="1262">
        <f>IF(ISNUMBER(((Datos!L14/Datos!K14)*11)/factor_trimestre),((Datos!L14/Datos!K14)*11)/factor_trimestre," - ")</f>
        <v>4.7441860465116275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-1.7038007863695939E-2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2.859574468085107</v>
      </c>
      <c r="AQ23" s="1262">
        <f>IF(ISNUMBER(((Datos!M23/Datos!L23)*11)/factor_trimestre),((Datos!M23/Datos!L23)*11)/factor_trimestre," - ")</f>
        <v>0.6428571428571429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-3.125E-2</v>
      </c>
      <c r="AW23" s="1265">
        <f>IF(ISNUMBER((Datos!Q23-Datos!R23)/(Datos!S23-Datos!Q23+Datos!R23)),(Datos!Q23-Datos!R23)/(Datos!S23-Datos!Q23+Datos!R23)," - ")</f>
        <v>-6.25E-2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87</v>
      </c>
      <c r="AE31" s="1284">
        <f t="shared" si="9"/>
        <v>0</v>
      </c>
      <c r="AF31" s="1285">
        <f t="shared" si="9"/>
        <v>6</v>
      </c>
      <c r="AG31" s="1285">
        <f t="shared" si="9"/>
        <v>0</v>
      </c>
      <c r="AH31" s="1285">
        <f t="shared" si="9"/>
        <v>750</v>
      </c>
      <c r="AI31" s="1285">
        <f t="shared" si="9"/>
        <v>0</v>
      </c>
      <c r="AJ31" s="1286">
        <f t="shared" si="9"/>
        <v>0</v>
      </c>
      <c r="AK31" s="1286">
        <f t="shared" si="9"/>
        <v>0</v>
      </c>
      <c r="AL31" s="1278">
        <f t="shared" si="9"/>
        <v>82</v>
      </c>
      <c r="AM31" s="1278">
        <f t="shared" si="9"/>
        <v>143</v>
      </c>
      <c r="AN31" s="1278">
        <f t="shared" si="9"/>
        <v>0</v>
      </c>
      <c r="AO31" s="1278">
        <f t="shared" si="9"/>
        <v>0</v>
      </c>
      <c r="AP31" s="1278">
        <f>IF(ISNUMBER(((Datos!L31/Datos!K31)*11)/factor_trimestre),((Datos!L31/Datos!K31)*11)/factor_trimestre," - ")</f>
        <v>3.8458417849898585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-1.7610062893081761E-2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42.344617918534418</v>
      </c>
      <c r="AM33" s="1006"/>
      <c r="AN33" s="1006">
        <f>IF(ISNUMBER(STDEV(AN8:AN30)),STDEV(AN8:AN30),"-")</f>
        <v>0</v>
      </c>
      <c r="AO33" s="1012">
        <f>IF(ISNUMBER(STDEV(AO8:AO30)),STDEV(AO8:AO30),"-")</f>
        <v>0</v>
      </c>
      <c r="AP33" s="1065">
        <f>IF(ISNUMBER(STDEV(AP8:AP30)),STDEV(AP8:AP30),"-")</f>
        <v>1.0935751203367008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dEDx9OGq1n5kww18H2eBp7hZl0xo33JGSBg8k1vqc45lbvBxN1r9pi6M5TojEv99ETLIji2Uj9jOgi7LNBOIw==" saltValue="SV2GFynBLUNLQmKTLjzY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BARCO DE VALDEORRAS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DFu34m2TZITVjXASc1rEGSWRguc5mqOVlRT3HJaPYKl2rlhfG8COUIyELE+sn3xnRuiTHDPqw8bjJ/N8qaQmg==" saltValue="+8vorjSnhRKHiA21Ee/S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BARCO DE VALDEORRAS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143</v>
      </c>
      <c r="G12" s="452">
        <f t="shared" si="1"/>
        <v>71.5</v>
      </c>
      <c r="H12" s="451">
        <f>IF(ISNUMBER(Datos!O12),Datos!O12," - ")</f>
        <v>139</v>
      </c>
      <c r="I12" s="452">
        <f t="shared" si="2"/>
        <v>69.5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143</v>
      </c>
      <c r="G14" s="1147">
        <f t="shared" si="1"/>
        <v>47.666666666666664</v>
      </c>
      <c r="H14" s="1146">
        <f>SUBTOTAL(9,H9:H13)</f>
        <v>139</v>
      </c>
      <c r="I14" s="1147">
        <f>IF(ISNUMBER(H14/B14),H14/B14," - ")</f>
        <v>46.333333333333336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103</v>
      </c>
      <c r="G17" s="452">
        <f t="shared" si="4"/>
        <v>51.5</v>
      </c>
      <c r="H17" s="451">
        <f>IF(ISNUMBER(Datos!O17),Datos!O17," - ")</f>
        <v>6</v>
      </c>
      <c r="I17" s="452">
        <f t="shared" si="5"/>
        <v>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111</v>
      </c>
      <c r="G23" s="1147">
        <f t="shared" si="4"/>
        <v>37</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130</v>
      </c>
      <c r="E31" s="1085">
        <f>IF(ISNUMBER(D31/B31),D31/B31," - ")</f>
        <v>65</v>
      </c>
      <c r="F31" s="1084">
        <f>SUBTOTAL(9,F8:F30)</f>
        <v>254</v>
      </c>
      <c r="G31" s="1085">
        <f>IF(ISNUMBER(F31/B31),F31/B31," - ")</f>
        <v>127</v>
      </c>
      <c r="H31" s="1084">
        <f>SUBTOTAL(9,H8:H30)</f>
        <v>145</v>
      </c>
      <c r="I31" s="1085">
        <f>IF(ISNUMBER(H31/B31),H31/B31," - ")</f>
        <v>72.5</v>
      </c>
    </row>
    <row r="34" spans="1:1">
      <c r="A34" s="439" t="str">
        <f>Criterios!A4</f>
        <v>Fecha Informe: 05 may. 2023</v>
      </c>
    </row>
    <row r="39" spans="1:1">
      <c r="A39" s="462"/>
    </row>
  </sheetData>
  <sheetProtection algorithmName="SHA-512" hashValue="oX3sZh3yFPZa3NzTa9cvWALpeJkPxlMvluoCJ5l+Xy1b1c9oPVAVNK+GzDT5cM5RcO2TrGjHYwn9poH1da3UzQ==" saltValue="XWXU9PUXMluJIVkG/uZC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BARCO DE VALDEORRAS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v>
      </c>
      <c r="C12" s="489">
        <f>IF(ISNUMBER(Datos!Q12),Datos!Q12," - ")</f>
        <v>87</v>
      </c>
      <c r="D12" s="456">
        <f>IF(ISNUMBER(Datos!R12),Datos!R12," - ")</f>
        <v>750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87</v>
      </c>
      <c r="D14" s="1148">
        <f>SUBTOTAL(9,D9:D13)</f>
        <v>750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11</v>
      </c>
      <c r="D17" s="456">
        <f>IF(ISNUMBER(Datos!R17),Datos!R17," - ")</f>
        <v>29</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13</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100</v>
      </c>
      <c r="D31" s="1090">
        <f>SUBTOTAL(9,D8:D30)</f>
        <v>781</v>
      </c>
    </row>
    <row r="32" spans="1:4" ht="7.5" customHeight="1"/>
    <row r="33" spans="1:1" ht="6" customHeight="1"/>
    <row r="34" spans="1:1">
      <c r="A34" s="439" t="str">
        <f>Criterios!A4</f>
        <v>Fecha Informe: 05 may. 2023</v>
      </c>
    </row>
    <row r="39" spans="1:1">
      <c r="A39" s="462"/>
    </row>
  </sheetData>
  <sheetProtection algorithmName="SHA-512" hashValue="R8FJeScQ9D/EkDhF9nfDHXvAIv7Th8Cywad7T2nn3ZcVNHR3aXTBCzpFecfypJ5JNQ1mywJ5gG7tfbFblav5kw==" saltValue="2vkQB+16dUqMNdeDCm3C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BARCO DE VALDEORRAS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0.2</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4.3103448275862072E-2</v>
      </c>
      <c r="C12" s="515">
        <f>IF(ISNUMBER(
   IF(J_V="SI",(Datos!J12-Datos!T12)/Datos!T12,(Datos!J12+Datos!Z12-(Datos!T12+Datos!AH12))/(Datos!T12+Datos!AH12))
     ),IF(J_V="SI",(Datos!J12-Datos!T12)/Datos!T12,(Datos!J12+Datos!Z12-(Datos!T12+Datos!AH12))/(Datos!T12+Datos!AH12))," - ")</f>
        <v>-9.9630996309963096E-2</v>
      </c>
      <c r="D12" s="515">
        <f>IF(ISNUMBER(
   IF(J_V="SI",(Datos!K12-Datos!U12)/Datos!U12,(Datos!K12+Datos!AA12-(Datos!U12+Datos!AI12))/(Datos!U12+Datos!AI12))
     ),IF(J_V="SI",(Datos!K12-Datos!U12)/Datos!U12,(Datos!K12+Datos!AA12-(Datos!U12+Datos!AI12))/(Datos!U12+Datos!AI12))," - ")</f>
        <v>-2.6946107784431138E-2</v>
      </c>
      <c r="E12" s="515">
        <f>IF(ISNUMBER(
   IF(J_V="SI",(Datos!L12-Datos!V12)/Datos!V12,(Datos!L12+Datos!AB12-(Datos!V12+Datos!AJ12))/(Datos!V12+Datos!AJ12))
     ),IF(J_V="SI",(Datos!L12-Datos!V12)/Datos!V12,(Datos!L12+Datos!AB12-(Datos!V12+Datos!AJ12))/(Datos!V12+Datos!AJ12))," - ")</f>
        <v>-1.9342359767891683E-3</v>
      </c>
      <c r="F12" s="515">
        <f>IF(ISNUMBER((Datos!M12-Datos!W12)/Datos!W12),(Datos!M12-Datos!W12)/Datos!W12," - ")</f>
        <v>0.34426229508196721</v>
      </c>
      <c r="G12" s="516">
        <f>IF(ISNUMBER((Datos!N12-Datos!X12)/Datos!X12),(Datos!N12-Datos!X12)/Datos!X12," - ")</f>
        <v>-8.3333333333333329E-2</v>
      </c>
      <c r="H12" s="514">
        <f>IF(ISNUMBER(((NºAsuntos!G12/NºAsuntos!E12)-Datos!BD12)/Datos!BD12),((NºAsuntos!G12/NºAsuntos!E12)-Datos!BD12)/Datos!BD12," - ")</f>
        <v>8.0727888485324542E-2</v>
      </c>
      <c r="I12" s="515">
        <f>IF(ISNUMBER(((NºAsuntos!I12/NºAsuntos!G12)-Datos!BE12)/Datos!BE12),((NºAsuntos!I12/NºAsuntos!G12)-Datos!BE12)/Datos!BE12," - ")</f>
        <v>2.5704508257699821E-2</v>
      </c>
      <c r="J12" s="521">
        <f>IF(ISNUMBER((('Resol  Asuntos'!D12/NºAsuntos!G12)-Datos!BF12)/Datos!BF12),(('Resol  Asuntos'!D12/NºAsuntos!G12)-Datos!BF12)/Datos!BF12," - ")</f>
        <v>-0.45980276134122294</v>
      </c>
      <c r="K12" s="522">
        <f>IF(ISNUMBER((((NºAsuntos!C12+NºAsuntos!E12)/NºAsuntos!G12)-Datos!BG12)/Datos!BG12),(((NºAsuntos!C12+NºAsuntos!E12)/NºAsuntos!G12)-Datos!BG12)/Datos!BG12," - ")</f>
        <v>2.5277049624875793E-2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4.2662116040955635E-2</v>
      </c>
      <c r="C14" s="1152">
        <f>IF(ISNUMBER(
   IF(J_V="SI",(Datos!J14-Datos!T14)/Datos!T14,(Datos!J14+Datos!Z14-(Datos!T14+Datos!AH14))/(Datos!T14+Datos!AH14))
     ),IF(J_V="SI",(Datos!J14-Datos!T14)/Datos!T14,(Datos!J14+Datos!Z14-(Datos!T14+Datos!AH14))/(Datos!T14+Datos!AH14))," - ")</f>
        <v>-0.10948905109489052</v>
      </c>
      <c r="D14" s="1152">
        <f>IF(ISNUMBER(
   IF(J_V="SI",(Datos!K14-Datos!U14)/Datos!U14,(Datos!K14+Datos!AA14-(Datos!U14+Datos!AI14))/(Datos!U14+Datos!AI14))
     ),IF(J_V="SI",(Datos!K14-Datos!U14)/Datos!U14,(Datos!K14+Datos!AA14-(Datos!U14+Datos!AI14))/(Datos!U14+Datos!AI14))," - ")</f>
        <v>-3.8461538461538464E-2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0.30158730158730157</v>
      </c>
      <c r="G14" s="1154">
        <f>IF(ISNUMBER((Datos!N14-Datos!X14)/Datos!X14),(Datos!N14-Datos!X14)/Datos!X14," - ")</f>
        <v>-8.3333333333333329E-2</v>
      </c>
      <c r="H14" s="1154">
        <f>IF(ISNUMBER(((NºAsuntos!G14/NºAsuntos!E14)-Datos!BD14)/Datos!BD14),((NºAsuntos!G14/NºAsuntos!E14)-Datos!BD14)/Datos!BD14," - ")</f>
        <v>7.976040353089546E-2</v>
      </c>
      <c r="I14" s="1154">
        <f>IF(ISNUMBER(((NºAsuntos!I14/NºAsuntos!G14)-Datos!BE14)/Datos!BE14),((NºAsuntos!I14/NºAsuntos!G14)-Datos!BE14)/Datos!BE14," - ")</f>
        <v>0.04</v>
      </c>
      <c r="J14" s="1154">
        <f>IF(ISNUMBER((('Resol  Asuntos'!D14/NºAsuntos!G14)-Datos!BF14)/Datos!BF14),(('Resol  Asuntos'!D14/NºAsuntos!G14)-Datos!BF14)/Datos!BF14," - ")</f>
        <v>-0.46025316455696208</v>
      </c>
      <c r="K14" s="1154">
        <f>IF(ISNUMBER((((NºAsuntos!C14+NºAsuntos!E14)/NºAsuntos!G14)-Datos!BG14)/Datos!BG14),(((NºAsuntos!C14+NºAsuntos!E14)/NºAsuntos!G14)-Datos!BG14)/Datos!BG14," - ")</f>
        <v>3.3953488372092971E-2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-7.3929961089494164E-2</v>
      </c>
      <c r="C17" s="515">
        <f>IF(ISNUMBER(
   IF(D_I="SI",(Datos!J17-Datos!T17)/Datos!T17,(Datos!J17+Datos!AD17-(Datos!T17+Datos!AL17))/(Datos!T17+Datos!AL17))
     ),IF(D_I="SI",(Datos!J17-Datos!T17)/Datos!T17,(Datos!J17+Datos!AD17-(Datos!T17+Datos!AL17))/(Datos!T17+Datos!AL17))," - ")</f>
        <v>0.15697674418604651</v>
      </c>
      <c r="D17" s="515">
        <f>IF(ISNUMBER(
   IF(D_I="SI",(Datos!K17-Datos!U17)/Datos!U17,(Datos!K17+Datos!AE17-(Datos!U17+Datos!AM17))/(Datos!U17+Datos!AM17))
     ),IF(D_I="SI",(Datos!K17-Datos!U17)/Datos!U17,(Datos!K17+Datos!AE17-(Datos!U17+Datos!AM17))/(Datos!U17+Datos!AM17))," - ")</f>
        <v>0.140625</v>
      </c>
      <c r="E17" s="515">
        <f>IF(ISNUMBER(
   IF(D_I="SI",(Datos!L17-Datos!V17)/Datos!V17,(Datos!L17+Datos!AF17-(Datos!V17+Datos!AN17))/(Datos!V17+Datos!AN17))
     ),IF(D_I="SI",(Datos!L17-Datos!V17)/Datos!V17,(Datos!L17+Datos!AF17-(Datos!V17+Datos!AN17))/(Datos!V17+Datos!AN17))," - ")</f>
        <v>-8.0168776371308023E-2</v>
      </c>
      <c r="F17" s="515">
        <f>IF(ISNUMBER((Datos!M17-Datos!W17)/Datos!W17),(Datos!M17-Datos!W17)/Datos!W17," - ")</f>
        <v>0.125</v>
      </c>
      <c r="G17" s="516">
        <f>IF(ISNUMBER((Datos!N17-Datos!X17)/Datos!X17),(Datos!N17-Datos!X17)/Datos!X17," - ")</f>
        <v>0</v>
      </c>
      <c r="H17" s="514">
        <f>IF(ISNUMBER(((NºAsuntos!G17/NºAsuntos!E17)-Datos!BD17)/Datos!BD17),((NºAsuntos!G17/NºAsuntos!E17)-Datos!BD17)/Datos!BD17," - ")</f>
        <v>-1.4133165829145722E-2</v>
      </c>
      <c r="I17" s="515">
        <f>IF(ISNUMBER(((NºAsuntos!I17/NºAsuntos!G17)-Datos!BE17)/Datos!BE17),((NºAsuntos!I17/NºAsuntos!G17)-Datos!BE17)/Datos!BE17," - ")</f>
        <v>-0.19357262585977694</v>
      </c>
      <c r="J17" s="521">
        <f>IF(ISNUMBER((('Resol  Asuntos'!D17/NºAsuntos!G17)-Datos!BF17)/Datos!BF17),(('Resol  Asuntos'!D17/NºAsuntos!G17)-Datos!BF17)/Datos!BF17," - ")</f>
        <v>-1.3698630136986399E-2</v>
      </c>
      <c r="K17" s="522">
        <f>IF(ISNUMBER((((NºAsuntos!C17+NºAsuntos!E17)/NºAsuntos!G17)-Datos!BG17)/Datos!BG17),(((NºAsuntos!C17+NºAsuntos!E17)/NºAsuntos!G17)-Datos!BG17)/Datos!BG17," - ")</f>
        <v>-0.10693872337707952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-0.26315789473684209</v>
      </c>
      <c r="D18" s="515">
        <f>IF(ISNUMBER(
   IF(D_I="SI",(Datos!K18-Datos!U18)/Datos!U18,(Datos!K18+Datos!AE18-(Datos!U18+Datos!AM18))/(Datos!U18+Datos!AM18))
     ),IF(D_I="SI",(Datos!K18-Datos!U18)/Datos!U18,(Datos!K18+Datos!AE18-(Datos!U18+Datos!AM18))/(Datos!U18+Datos!AM18))," - ")</f>
        <v>-0.23809523809523808</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-0.4</v>
      </c>
      <c r="G18" s="516">
        <f>IF(ISNUMBER((Datos!N18-Datos!X18)/Datos!X18),(Datos!N18-Datos!X18)/Datos!X18," - ")</f>
        <v>-0.1111111111111111</v>
      </c>
      <c r="H18" s="514">
        <f>IF(ISNUMBER(((NºAsuntos!G18/NºAsuntos!E18)-Datos!BD18)/Datos!BD18),((NºAsuntos!G18/NºAsuntos!E18)-Datos!BD18)/Datos!BD18," - ")</f>
        <v>3.4013605442176714E-2</v>
      </c>
      <c r="I18" s="515">
        <f>IF(ISNUMBER(((NºAsuntos!I18/NºAsuntos!G18)-Datos!BE18)/Datos!BE18),((NºAsuntos!I18/NºAsuntos!G18)-Datos!BE18)/Datos!BE18," - ")</f>
        <v>-0.28409090909090912</v>
      </c>
      <c r="J18" s="521">
        <f>IF(ISNUMBER((('Resol  Asuntos'!D18/NºAsuntos!G18)-Datos!BF18)/Datos!BF18),(('Resol  Asuntos'!D18/NºAsuntos!G18)-Datos!BF18)/Datos!BF18," - ")</f>
        <v>-0.21249999999999997</v>
      </c>
      <c r="K18" s="522">
        <f>IF(ISNUMBER((((NºAsuntos!C18+NºAsuntos!E18)/NºAsuntos!G18)-Datos!BG18)/Datos!BG18),(((NºAsuntos!C18+NºAsuntos!E18)/NºAsuntos!G18)-Datos!BG18)/Datos!BG18," - ")</f>
        <v>-9.7656249999999944E-2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-8.8888888888888892E-2</v>
      </c>
      <c r="C23" s="1152">
        <f>IF(ISNUMBER(
   IF(Criterios!B14="SI",(Datos!J23-Datos!T23)/Datos!T23,(Datos!J23+Datos!AD23-(Datos!T23+Datos!AL23))/(Datos!T23+Datos!AL23))
     ),IF(Criterios!B14="SI",(Datos!J23-Datos!T23)/Datos!T23,(Datos!J23+Datos!AD23-(Datos!T23+Datos!AL23))/(Datos!T23+Datos!AL23))," - ")</f>
        <v>0.11518324607329843</v>
      </c>
      <c r="D23" s="1152">
        <f>IF(ISNUMBER(
   IF(Criterios!B14="SI",(Datos!K23-Datos!U23)/Datos!U23,(Datos!K23+Datos!AE23-(Datos!U23+Datos!AM23))/(Datos!U23+Datos!AM23))
     ),IF(Criterios!B14="SI",(Datos!K23-Datos!U23)/Datos!U23,(Datos!K23+Datos!AE23-(Datos!U23+Datos!AM23))/(Datos!U23+Datos!AM23))," - ")</f>
        <v>0.10328638497652583</v>
      </c>
      <c r="E23" s="1152">
        <f>IF(ISNUMBER(
   IF(Criterios!B14="SI",(Datos!L23-Datos!V23)/Datos!V23,(Datos!L23+Datos!AF23-(Datos!V23+Datos!AN23))/(Datos!V23+Datos!AN23))
     ),IF(Criterios!B14="SI",(Datos!L23-Datos!V23)/Datos!V23,(Datos!L23+Datos!AF23-(Datos!V23+Datos!AN23))/(Datos!V23+Datos!AN23))," - ")</f>
        <v>-9.6774193548387094E-2</v>
      </c>
      <c r="F23" s="1153">
        <f>IF(ISNUMBER((Datos!M23-Datos!W23)/Datos!W23),(Datos!M23-Datos!W23)/Datos!W23," - ")</f>
        <v>6.6666666666666666E-2</v>
      </c>
      <c r="G23" s="1154">
        <f>IF(ISNUMBER((Datos!N23-Datos!X23)/Datos!X23),(Datos!N23-Datos!X23)/Datos!X23," - ")</f>
        <v>-8.9285714285714281E-3</v>
      </c>
      <c r="H23" s="1154">
        <f>IF(ISNUMBER(((NºAsuntos!G23/NºAsuntos!E23)-Datos!BD23)/Datos!BD23),((NºAsuntos!G23/NºAsuntos!E23)-Datos!BD23)/Datos!BD23," - ")</f>
        <v>-1.0668077321519165E-2</v>
      </c>
      <c r="I23" s="1154">
        <f>IF(ISNUMBER(((NºAsuntos!I23/NºAsuntos!G23)-Datos!BE23)/Datos!BE23),((NºAsuntos!I23/NºAsuntos!G23)-Datos!BE23)/Datos!BE23," - ")</f>
        <v>-0.18133150308853802</v>
      </c>
      <c r="J23" s="1154">
        <f>IF(ISNUMBER((('Resol  Asuntos'!D23/NºAsuntos!G23)-Datos!BF23)/Datos!BF23),(('Resol  Asuntos'!D23/NºAsuntos!G23)-Datos!BF23)/Datos!BF23," - ")</f>
        <v>-3.3191489361702159E-2</v>
      </c>
      <c r="K23" s="1154">
        <f>IF(ISNUMBER((((NºAsuntos!C23+NºAsuntos!E23)/NºAsuntos!G23)-Datos!BG23)/Datos!BG23),(((NºAsuntos!C23+NºAsuntos!E23)/NºAsuntos!G23)-Datos!BG23)/Datos!BG23," - ")</f>
        <v>-9.7549268472792675E-2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1.1682242990654205E-3</v>
      </c>
      <c r="C31" s="1092">
        <f>IF(ISNUMBER(
   IF(J_V="SI",(Datos!J31-Datos!T31)/Datos!T31,(Datos!J31+Datos!Z31-(Datos!T31+Datos!AH31))/(Datos!T31+Datos!AH31))
     ),IF(J_V="SI",(Datos!J31-Datos!T31)/Datos!T31,(Datos!J31+Datos!Z31-(Datos!T31+Datos!AH31))/(Datos!T31+Datos!AH31))," - ")</f>
        <v>-1.7204301075268817E-2</v>
      </c>
      <c r="D31" s="1092">
        <f>IF(ISNUMBER(
   IF(J_V="SI",(Datos!K31-Datos!U31)/Datos!U31,(Datos!K31+Datos!AA31-(Datos!U31+Datos!AI31))/(Datos!U31+Datos!AI31))
     ),IF(J_V="SI",(Datos!K31-Datos!U31)/Datos!U31,(Datos!K31+Datos!AA31-(Datos!U31+Datos!AI31))/(Datos!U31+Datos!AI31))," - ")</f>
        <v>1.6333938294010888E-2</v>
      </c>
      <c r="E31" s="1092">
        <f>IF(ISNUMBER(
   IF(J_V="SI",(Datos!L31-Datos!V31)/Datos!V31,(Datos!L31+Datos!AB31-(Datos!V31+Datos!AJ31))/(Datos!V31+Datos!AJ31))
     ),IF(J_V="SI",(Datos!L31-Datos!V31)/Datos!V31,(Datos!L31+Datos!AB31-(Datos!V31+Datos!AJ31))/(Datos!V31+Datos!AJ31))," - ")</f>
        <v>-3.1168831168831169E-2</v>
      </c>
      <c r="F31" s="1093">
        <f>IF(ISNUMBER((Datos!M31-Datos!W31)/Datos!W31),(Datos!M31-Datos!W31)/Datos!W31," - ")</f>
        <v>0.20370370370370369</v>
      </c>
      <c r="G31" s="1094">
        <f>IF(ISNUMBER((Datos!N31-Datos!X31)/Datos!X31),(Datos!N31-Datos!X31)/Datos!X31," - ")</f>
        <v>-5.2238805970149252E-2</v>
      </c>
      <c r="H31" s="1095">
        <f>IF(ISNUMBER((Tasas!B31-Datos!BD31)/Datos!BD31),(Tasas!B31-Datos!BD31)/Datos!BD31," - ")</f>
        <v>3.4125342027822747E-2</v>
      </c>
      <c r="I31" s="1096">
        <f>IF(ISNUMBER((Tasas!C31-Datos!BE31)/Datos!BE31),(Tasas!C31-Datos!BE31)/Datos!BE31," - ")</f>
        <v>-4.6739332096474982E-2</v>
      </c>
      <c r="J31" s="1097">
        <f>IF(ISNUMBER((Tasas!D31-Datos!BF31)/Datos!BF31),(Tasas!D31-Datos!BF31)/Datos!BF31," - ")</f>
        <v>-0.36989795918367341</v>
      </c>
      <c r="K31" s="1097">
        <f>IF(ISNUMBER((Tasas!E31-Datos!BG31)/Datos!BG31),(Tasas!E31-Datos!BG31)/Datos!BG31," - ")</f>
        <v>-2.1285281712987939E-2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qQk6F2+Wpv8E525wdQqC3uLLEV+iIZ7PEx0s+E0tmSa3lfhufhbUoheFiQI9JUOBPfqsAOo4Zpg5tXP6TexeA==" saltValue="dO5BtAUKnYWOZNgvURwX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BARCO DE VALDEORRAS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1.3319672131147542</v>
      </c>
      <c r="C12" s="498">
        <f>IF(ISNUMBER(NºAsuntos!I12/NºAsuntos!G12),NºAsuntos!I12/NºAsuntos!G12," - ")</f>
        <v>1.5876923076923077</v>
      </c>
      <c r="D12" s="499">
        <f>IF(ISNUMBER('Resol  Asuntos'!D12/NºAsuntos!G12),'Resol  Asuntos'!D12/NºAsuntos!G12," - ")</f>
        <v>0.25230769230769229</v>
      </c>
      <c r="E12" s="500">
        <f>IF(ISNUMBER((NºAsuntos!C12+NºAsuntos!E12)/NºAsuntos!G12),(NºAsuntos!C12+NºAsuntos!E12)/NºAsuntos!G12," - ")</f>
        <v>2.6123076923076924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1.3319672131147542</v>
      </c>
      <c r="C14" s="1156">
        <f>IF(ISNUMBER(NºAsuntos!I14/NºAsuntos!G14),NºAsuntos!I14/NºAsuntos!G14," - ")</f>
        <v>1.606153846153846</v>
      </c>
      <c r="D14" s="1157">
        <f>IF(ISNUMBER('Resol  Asuntos'!D14/NºAsuntos!G14),'Resol  Asuntos'!D14/NºAsuntos!G14," - ")</f>
        <v>0.25230769230769229</v>
      </c>
      <c r="E14" s="1158">
        <f>IF(ISNUMBER((NºAsuntos!C14+NºAsuntos!E14)/NºAsuntos!G14),(NºAsuntos!C14+NºAsuntos!E14)/NºAsuntos!G14," - ")</f>
        <v>2.6307692307692307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1.1005025125628141</v>
      </c>
      <c r="C17" s="498">
        <f>IF(ISNUMBER(NºAsuntos!I17/NºAsuntos!G17),NºAsuntos!I17/NºAsuntos!G17," - ")</f>
        <v>0.99543378995433784</v>
      </c>
      <c r="D17" s="499">
        <f>IF(ISNUMBER('Resol  Asuntos'!D17/NºAsuntos!G17),'Resol  Asuntos'!D17/NºAsuntos!G17," - ")</f>
        <v>0.20547945205479451</v>
      </c>
      <c r="E17" s="500">
        <f>IF(ISNUMBER((NºAsuntos!C17+NºAsuntos!E17)/NºAsuntos!G17),(NºAsuntos!C17+NºAsuntos!E17)/NºAsuntos!G17," - ")</f>
        <v>1.995433789954338</v>
      </c>
      <c r="G17" s="523"/>
    </row>
    <row r="18" spans="1:7">
      <c r="A18" s="450" t="str">
        <f>Datos!A18</f>
        <v>Jdos. Violencia contra la mujer</v>
      </c>
      <c r="B18" s="497">
        <f>IF(ISNUMBER(NºAsuntos!G18/NºAsuntos!E18),NºAsuntos!G18/NºAsuntos!E18," - ")</f>
        <v>1.1428571428571428</v>
      </c>
      <c r="C18" s="498">
        <f>IF(ISNUMBER(NºAsuntos!I18/NºAsuntos!G18),NºAsuntos!I18/NºAsuntos!G18," - ")</f>
        <v>0.375</v>
      </c>
      <c r="D18" s="499">
        <f>IF(ISNUMBER('Resol  Asuntos'!D18/NºAsuntos!G18),'Resol  Asuntos'!D18/NºAsuntos!G18," - ")</f>
        <v>0.1875</v>
      </c>
      <c r="E18" s="500">
        <f>IF(ISNUMBER((NºAsuntos!C18+NºAsuntos!E18)/NºAsuntos!G18),(NºAsuntos!C18+NºAsuntos!E18)/NºAsuntos!G18," - ")</f>
        <v>1.375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1.1032863849765258</v>
      </c>
      <c r="C23" s="1156">
        <f>IF(ISNUMBER(NºAsuntos!I23/NºAsuntos!G23),NºAsuntos!I23/NºAsuntos!G23," - ")</f>
        <v>0.95319148936170217</v>
      </c>
      <c r="D23" s="1159">
        <f>IF(ISNUMBER('Resol  Asuntos'!D23/NºAsuntos!G23),'Resol  Asuntos'!D23/NºAsuntos!G23," - ")</f>
        <v>0.20425531914893616</v>
      </c>
      <c r="E23" s="1158">
        <f>IF(ISNUMBER((NºAsuntos!C23+NºAsuntos!E23)/NºAsuntos!G23),(NºAsuntos!C23+NºAsuntos!E23)/NºAsuntos!G23," - ")</f>
        <v>1.9531914893617022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1.2253829321663019</v>
      </c>
      <c r="C31" s="1099">
        <f>IF(ISNUMBER(NºAsuntos!I31/NºAsuntos!G31),NºAsuntos!I31/NºAsuntos!G31," - ")</f>
        <v>1.3321428571428571</v>
      </c>
      <c r="D31" s="1100">
        <f>IF(ISNUMBER('Resol  Asuntos'!D31/NºAsuntos!G31),'Resol  Asuntos'!D31/NºAsuntos!G31," - ")</f>
        <v>0.23214285714285715</v>
      </c>
      <c r="E31" s="1101">
        <f>IF(ISNUMBER((NºAsuntos!C31+NºAsuntos!E31)/NºAsuntos!G31),(NºAsuntos!C31+NºAsuntos!E31)/NºAsuntos!G31," - ")</f>
        <v>2.3464285714285715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txP+wp5/Hx2LYO0gIBq5TrWE5TgNGxbZ5tOtdI+KVI3VISiQfSU03vKrGqofzT75dIk/KWEi2Ra+ByiC+2bVw==" saltValue="KOAUDX7OXlABV4NB43Jm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BARCO DE VALDEORRAS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1.3319672131147542</v>
      </c>
      <c r="AM12" s="284">
        <f>IF(ISNUMBER(((NºAsuntos!I12/NºAsuntos!G12)*11)/factor_trimestre),((NºAsuntos!I12/NºAsuntos!G12)*11)/factor_trimestre," - ")</f>
        <v>4.7630769230769232</v>
      </c>
      <c r="AN12" s="267">
        <f>IF(ISNUMBER('Resol  Asuntos'!D12/NºAsuntos!G12),'Resol  Asuntos'!D12/NºAsuntos!G12," - ")</f>
        <v>0.25230769230769229</v>
      </c>
      <c r="AO12" s="268">
        <f>IF(ISNUMBER((NºAsuntos!C12+NºAsuntos!E12)/NºAsuntos!G12),(NºAsuntos!C12+NºAsuntos!E12)/NºAsuntos!G12," - ")</f>
        <v>2.6123076923076924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87</v>
      </c>
      <c r="Y14" s="1165">
        <f t="shared" si="6"/>
        <v>87</v>
      </c>
      <c r="Z14" s="1165">
        <f t="shared" si="6"/>
        <v>0</v>
      </c>
      <c r="AA14" s="1165">
        <f t="shared" si="6"/>
        <v>6</v>
      </c>
      <c r="AB14" s="1165">
        <f t="shared" si="6"/>
        <v>750</v>
      </c>
      <c r="AC14" s="1165">
        <f t="shared" si="6"/>
        <v>6</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1.3319672131147542</v>
      </c>
      <c r="AM14" s="1171">
        <f>IF(ISNUMBER(((NºAsuntos!I14/NºAsuntos!G14)*11)/factor_trimestre),((NºAsuntos!I14/NºAsuntos!G14)*11)/factor_trimestre," - ")</f>
        <v>4.8184615384615386</v>
      </c>
      <c r="AN14" s="1172">
        <f>IF(ISNUMBER('Resol  Asuntos'!D14/NºAsuntos!G14),'Resol  Asuntos'!D14/NºAsuntos!G14," - ")</f>
        <v>0.25230769230769229</v>
      </c>
      <c r="AO14" s="1173">
        <f>IF(ISNUMBER((NºAsuntos!C14+NºAsuntos!E14)/NºAsuntos!G14),(NºAsuntos!C14+NºAsuntos!E14)/NºAsuntos!G14," - ")</f>
        <v>2.6307692307692307</v>
      </c>
      <c r="AP14" s="1174" t="str">
        <f t="shared" si="2"/>
        <v xml:space="preserve"> - </v>
      </c>
      <c r="AQ14" s="1174">
        <f>IF(ISNUMBER((H14-W14+K14)/(F14)),(H14-W14+K14)/(F14)," - ")</f>
        <v>0</v>
      </c>
      <c r="AR14" s="1175">
        <f>IF(ISNUMBER((Datos!P14-Datos!Q14)/(Datos!R14-Datos!P14+Datos!Q14)),(Datos!P14-Datos!Q14)/(Datos!R14-Datos!P14+Datos!Q14)," - ")</f>
        <v>-1.7038007863695939E-2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238</v>
      </c>
      <c r="G17" s="373">
        <f>IF(ISNUMBER(IF(D_I="SI",Datos!I17,Datos!I17+Datos!AC17)),IF(D_I="SI",Datos!I17,Datos!I17+Datos!AC17)," - ")</f>
        <v>238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219</v>
      </c>
      <c r="X17" s="240">
        <f>IF(ISNUMBER(Datos!Q17),Datos!Q17," - ")</f>
        <v>11</v>
      </c>
      <c r="Y17" s="374">
        <f t="shared" ref="Y17:Y22" si="9">SUM(W17:X17)</f>
        <v>230</v>
      </c>
      <c r="Z17" s="375" t="str">
        <f>IF(ISNUMBER(Datos!CC17),Datos!CC17," - ")</f>
        <v xml:space="preserve"> - </v>
      </c>
      <c r="AA17" s="372">
        <f>IF(ISNUMBER(IF(D_I="SI",Datos!L17,Datos!L17+Datos!AF17)),IF(D_I="SI",Datos!L17,Datos!L17+Datos!AF17)," - ")</f>
        <v>218</v>
      </c>
      <c r="AB17" s="374">
        <f>IF(ISNUMBER(Datos!R17),Datos!R17," - ")</f>
        <v>29</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1.1005025125628141</v>
      </c>
      <c r="AM17" s="284">
        <f>IF(ISNUMBER(((NºAsuntos!I17/NºAsuntos!G17)*11)/factor_trimestre),((NºAsuntos!I17/NºAsuntos!G17)*11)/factor_trimestre," - ")</f>
        <v>2.9863013698630136</v>
      </c>
      <c r="AN17" s="267">
        <f>IF(ISNUMBER('Resol  Asuntos'!D17/NºAsuntos!G17),'Resol  Asuntos'!D17/NºAsuntos!G17," - ")</f>
        <v>0.20547945205479451</v>
      </c>
      <c r="AO17" s="268">
        <f>IF(ISNUMBER((NºAsuntos!C17+NºAsuntos!E17)/NºAsuntos!G17),(NºAsuntos!C17+NºAsuntos!E17)/NºAsuntos!G17," - ")</f>
        <v>1.995433789954338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2</v>
      </c>
      <c r="Y18" s="374">
        <f t="shared" si="9"/>
        <v>18</v>
      </c>
      <c r="Z18" s="375" t="str">
        <f>IF(ISNUMBER(Datos!CC18),Datos!CC18," - ")</f>
        <v xml:space="preserve"> - </v>
      </c>
      <c r="AA18" s="372">
        <f>IF(ISNUMBER(Datos!L18),Datos!L18,"-")</f>
        <v>6</v>
      </c>
      <c r="AB18" s="374">
        <f>IF(ISNUMBER(Datos!R18),Datos!R18," - ")</f>
        <v>2</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1.1428571428571428</v>
      </c>
      <c r="AM18" s="284">
        <f>IF(ISNUMBER(((NºAsuntos!I18/NºAsuntos!G18)*11)/factor_trimestre),((NºAsuntos!I18/NºAsuntos!G18)*11)/factor_trimestre," - ")</f>
        <v>1.125</v>
      </c>
      <c r="AN18" s="267">
        <f>IF(ISNUMBER('Resol  Asuntos'!D18/NºAsuntos!G18),'Resol  Asuntos'!D18/NºAsuntos!G18," - ")</f>
        <v>0.1875</v>
      </c>
      <c r="AO18" s="268">
        <f>IF(ISNUMBER((NºAsuntos!C18+NºAsuntos!E18)/NºAsuntos!G18),(NºAsuntos!C18+NºAsuntos!E18)/NºAsuntos!G18," - ")</f>
        <v>1.375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238</v>
      </c>
      <c r="G23" s="1163">
        <f>SUBTOTAL(9,G16:G22)</f>
        <v>246</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v>
      </c>
      <c r="X23" s="1164">
        <f t="shared" si="14"/>
        <v>13</v>
      </c>
      <c r="Y23" s="1165">
        <f t="shared" si="14"/>
        <v>248</v>
      </c>
      <c r="Z23" s="1165">
        <f t="shared" si="14"/>
        <v>0</v>
      </c>
      <c r="AA23" s="1165">
        <f t="shared" si="14"/>
        <v>224</v>
      </c>
      <c r="AB23" s="1165">
        <f t="shared" si="14"/>
        <v>31</v>
      </c>
      <c r="AC23" s="1165">
        <f t="shared" si="14"/>
        <v>255</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1.1032863849765258</v>
      </c>
      <c r="AM23" s="1171">
        <f>IF(ISNUMBER(((NºAsuntos!I23/NºAsuntos!G23)*11)/factor_trimestre),((NºAsuntos!I23/NºAsuntos!G23)*11)/factor_trimestre," - ")</f>
        <v>2.859574468085107</v>
      </c>
      <c r="AN23" s="1172">
        <f>IF(ISNUMBER('Resol  Asuntos'!D23/NºAsuntos!G23),'Resol  Asuntos'!D23/NºAsuntos!G23," - ")</f>
        <v>0.20425531914893616</v>
      </c>
      <c r="AO23" s="1173">
        <f>IF(ISNUMBER((NºAsuntos!C23+NºAsuntos!E23)/NºAsuntos!G23),(NºAsuntos!C23+NºAsuntos!E23)/NºAsuntos!G23," - ")</f>
        <v>1.9531914893617022</v>
      </c>
      <c r="AP23" s="1174" t="str">
        <f t="shared" si="2"/>
        <v xml:space="preserve"> - </v>
      </c>
      <c r="AQ23" s="1174">
        <f>IF(ISNUMBER((H23-W23+K23)/(F23)),(H23-W23+K23)/(F23)," - ")</f>
        <v>-0.98739495798319332</v>
      </c>
      <c r="AR23" s="1175">
        <f>IF(ISNUMBER((Datos!P23-Datos!Q23)/(Datos!R23-Datos!P23+Datos!Q23)),(Datos!P23-Datos!Q23)/(Datos!R23-Datos!P23+Datos!Q23)," - ")</f>
        <v>-3.125E-2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244</v>
      </c>
      <c r="G31" s="1118">
        <f t="shared" si="20"/>
        <v>252</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235</v>
      </c>
      <c r="X31" s="1118">
        <f t="shared" si="21"/>
        <v>100</v>
      </c>
      <c r="Y31" s="1125">
        <f t="shared" si="21"/>
        <v>335</v>
      </c>
      <c r="Z31" s="1125">
        <f t="shared" si="21"/>
        <v>0</v>
      </c>
      <c r="AA31" s="1125">
        <f t="shared" si="21"/>
        <v>230</v>
      </c>
      <c r="AB31" s="1125">
        <f t="shared" si="21"/>
        <v>781</v>
      </c>
      <c r="AC31" s="1125">
        <f t="shared" si="21"/>
        <v>261</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1.2253829321663019</v>
      </c>
      <c r="AM31" s="1184">
        <f>IF(ISNUMBER(((NºAsuntos!I31/NºAsuntos!G31)*11)/factor_trimestre),((NºAsuntos!I31/NºAsuntos!G31)*11)/factor_trimestre," - ")</f>
        <v>3.9964285714285714</v>
      </c>
      <c r="AN31" s="1184">
        <f>IF(ISNUMBER('Resol  Asuntos'!D31/NºAsuntos!G31),'Resol  Asuntos'!D31/NºAsuntos!G31," - ")</f>
        <v>0.23214285714285715</v>
      </c>
      <c r="AO31" s="1185">
        <f>IF(ISNUMBER((NºAsuntos!C31+NºAsuntos!E31)/NºAsuntos!G31),(NºAsuntos!C31+NºAsuntos!E31)/NºAsuntos!G31," - ")</f>
        <v>2.3464285714285715</v>
      </c>
      <c r="AP31" s="1186" t="str">
        <f t="shared" si="2"/>
        <v xml:space="preserve"> - </v>
      </c>
      <c r="AQ31" s="1187">
        <f>IF(OR(ISNUMBER(FIND("01",Criterios!A8,1)),ISNUMBER(FIND("02",Criterios!A8,1)),ISNUMBER(FIND("03",Criterios!A8,1)),ISNUMBER(FIND("04",Criterios!A8,1))),(I31-W31+K31)/(F31-K31),(H31-W31+K31)/(F31-K31))</f>
        <v>-0.96311475409836067</v>
      </c>
      <c r="AR31" s="1188">
        <f>IF(ISNUMBER((Datos!P31-Datos!Q31)/(Datos!R31-Datos!P31+Datos!Q31)),(Datos!P31-Datos!Q31)/(Datos!R31-Datos!P31+Datos!Q31)," - ")</f>
        <v>-1.7610062893081761E-2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121.38313996048491</v>
      </c>
      <c r="G33" s="277">
        <f>IF(ISNUMBER(STDEV(G8:G30)),STDEV(G8:G30),"-")</f>
        <v>116.19523799766208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109.45688431437067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36.520053199773486</v>
      </c>
      <c r="AJ33" s="276">
        <f t="shared" si="25"/>
        <v>0</v>
      </c>
      <c r="AK33" s="278">
        <f t="shared" si="25"/>
        <v>0</v>
      </c>
      <c r="AL33" s="273">
        <f t="shared" si="25"/>
        <v>0.11971516286525269</v>
      </c>
      <c r="AM33" s="274">
        <f t="shared" si="25"/>
        <v>1.5385688605471513</v>
      </c>
      <c r="AN33" s="274">
        <f t="shared" si="25"/>
        <v>3.0007834964042419E-2</v>
      </c>
      <c r="AO33" s="275">
        <f t="shared" si="25"/>
        <v>0.52473734912033199</v>
      </c>
      <c r="AP33" s="317" t="str">
        <f t="shared" si="25"/>
        <v>-</v>
      </c>
      <c r="AQ33" s="318">
        <f t="shared" si="25"/>
        <v>0.69819367049932213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n+L0E8NS3QT4IXvu2RPEe+IPhvEDJOZe4X5ein7VuWR19s8NrAA9pieAizKqWqFR4ujwiPD+kH7sDx9uD3wOw==" saltValue="aR+dMm7a6fJwdTiVoJxT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BARCO DE VALDEORRAS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0.34426229508196721</v>
      </c>
      <c r="I12" s="395">
        <f>IF(ISNUMBER((Tasas!C12-Datos!BE12)/Datos!BE12),(Tasas!C12-Datos!BE12)/Datos!BE12," - ")</f>
        <v>2.5704508257699821E-2</v>
      </c>
      <c r="J12" s="394">
        <f>IF(ISNUMBER((Tasas!D12-Datos!BF12)/Datos!BF12),(Tasas!D12-Datos!BF12)/Datos!BF12," - ")</f>
        <v>-0.45980276134122294</v>
      </c>
      <c r="K12" s="396">
        <f>IF(ISNUMBER((Tasas!E12-Datos!BG12)/Datos!BG12),(Tasas!E12-Datos!BG12)/Datos!BG12," - ")</f>
        <v>2.5277049624875793E-2</v>
      </c>
      <c r="M12" t="e">
        <f>IF(Monitorios="SI",Datos!CE12,0)</f>
        <v>#REF!</v>
      </c>
      <c r="N12" t="e">
        <f>IF(Monitorios="SI",Datos!CF12,0)</f>
        <v>#REF!</v>
      </c>
      <c r="O12" t="e">
        <f>IF(Monitorios="SI",Datos!CG12,0)</f>
        <v>#REF!</v>
      </c>
      <c r="P12" t="e">
        <f>IF(Monitorios="SI",Datos!CH12,0)</f>
        <v>#REF!</v>
      </c>
      <c r="Q12">
        <f>IF(J_V="SI",0,Datos!AG12)</f>
        <v>97</v>
      </c>
      <c r="R12">
        <f>IF(J_V="SI",0,Datos!AH12)</f>
        <v>53</v>
      </c>
      <c r="S12">
        <f>IF(J_V="SI",0,Datos!AI12)</f>
        <v>60</v>
      </c>
      <c r="T12">
        <f>IF(J_V="SI",0,Datos!AJ12)</f>
        <v>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0.30158730158730157</v>
      </c>
      <c r="I14" s="402">
        <f>IF(ISNUMBER((Tasas!C14-Datos!BE14)/Datos!BE14),(Tasas!C14-Datos!BE14)/Datos!BE14," - ")</f>
        <v>0.04</v>
      </c>
      <c r="J14" s="400">
        <f>IF(ISNUMBER((Tasas!D14-Datos!BF14)/Datos!BF14),(Tasas!D14-Datos!BF14)/Datos!BF14," - ")</f>
        <v>-0.46025316455696208</v>
      </c>
      <c r="K14" s="403">
        <f>IF(ISNUMBER((Tasas!E14-Datos!BG14)/Datos!BG14),(Tasas!E14-Datos!BG14)/Datos!BG14," - ")</f>
        <v>3.3953488372092971E-2</v>
      </c>
      <c r="M14" t="e">
        <f>IF(Monitorios="SI",Datos!CE14,0)</f>
        <v>#REF!</v>
      </c>
      <c r="N14" t="e">
        <f>IF(Monitorios="SI",Datos!CF14,0)</f>
        <v>#REF!</v>
      </c>
      <c r="O14" t="e">
        <f>IF(Monitorios="SI",Datos!CG14,0)</f>
        <v>#REF!</v>
      </c>
      <c r="P14" t="e">
        <f>IF(Monitorios="SI",Datos!CH14,0)</f>
        <v>#REF!</v>
      </c>
      <c r="Q14">
        <f>IF(J_V="SI",0,Datos!AG14)</f>
        <v>97</v>
      </c>
      <c r="R14">
        <f>IF(J_V="SI",0,Datos!AH14)</f>
        <v>53</v>
      </c>
      <c r="S14">
        <f>IF(J_V="SI",0,Datos!AI14)</f>
        <v>60</v>
      </c>
      <c r="T14">
        <f>IF(J_V="SI",0,Datos!AJ14)</f>
        <v>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-7.3929961089494164E-2</v>
      </c>
      <c r="E17" s="393">
        <f>IF(ISNUMBER(
   IF(D_I="SI",(Datos!J17-Datos!T17)/Datos!T17,(Datos!J17+Datos!AD17-(Datos!T17+Datos!AL17))/(Datos!T17+Datos!AL17))
     ),IF(D_I="SI",(Datos!J17-Datos!T17)/Datos!T17,(Datos!J17+Datos!AD17-(Datos!T17+Datos!AL17))/(Datos!T17+Datos!AL17))," - ")</f>
        <v>0.15697674418604651</v>
      </c>
      <c r="F17" s="393">
        <f>IF(ISNUMBER(
   IF(D_I="SI",(Datos!K17-Datos!U17)/Datos!U17,(Datos!K17+Datos!AE17-(Datos!U17+Datos!AM17))/(Datos!U17+Datos!AM17))
     ),IF(D_I="SI",(Datos!K17-Datos!U17)/Datos!U17,(Datos!K17+Datos!AE17-(Datos!U17+Datos!AM17))/(Datos!U17+Datos!AM17))," - ")</f>
        <v>0.140625</v>
      </c>
      <c r="G17" s="394">
        <f>IF(ISNUMBER(
   IF(D_I="SI",(Datos!L17-Datos!V17)/Datos!V17,(Datos!L17+Datos!AF17-(Datos!V17+Datos!AN17))/(Datos!V17+Datos!AN17))
     ),IF(D_I="SI",(Datos!L17-Datos!V17)/Datos!V17,(Datos!L17+Datos!AF17-(Datos!V17+Datos!AN17))/(Datos!V17+Datos!AN17))," - ")</f>
        <v>-8.0168776371308023E-2</v>
      </c>
      <c r="H17" s="244">
        <f>IF(ISNUMBER((Datos!M17-Datos!W17)/Datos!W17),(Datos!M17-Datos!W17)/Datos!W17," - ")</f>
        <v>0.125</v>
      </c>
      <c r="I17" s="395">
        <f>IF(ISNUMBER((Tasas!C17-Datos!BE17)/Datos!BE17),(Tasas!C17-Datos!BE17)/Datos!BE17," - ")</f>
        <v>-0.19357262585977694</v>
      </c>
      <c r="J17" s="394">
        <f>IF(ISNUMBER((Tasas!D17-Datos!BF17)/Datos!BF17),(Tasas!D17-Datos!BF17)/Datos!BF17," - ")</f>
        <v>-1.3698630136986399E-2</v>
      </c>
      <c r="K17" s="396">
        <f>IF(ISNUMBER((Tasas!E17-Datos!BG17)/Datos!BG17),(Tasas!E17-Datos!BG17)/Datos!BG17," - ")</f>
        <v>-0.10693872337707952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-0.26315789473684209</v>
      </c>
      <c r="F18" s="393">
        <f>IF(ISNUMBER(
   IF(D_I="SI",(Datos!K18-Datos!U18)/Datos!U18,(Datos!K18+Datos!AE18-(Datos!U18+Datos!AM18))/(Datos!U18+Datos!AM18))
     ),IF(D_I="SI",(Datos!K18-Datos!U18)/Datos!U18,(Datos!K18+Datos!AE18-(Datos!U18+Datos!AM18))/(Datos!U18+Datos!AM18))," - ")</f>
        <v>-0.23809523809523808</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-0.4</v>
      </c>
      <c r="I18" s="395">
        <f>IF(ISNUMBER((Tasas!C18-Datos!BE18)/Datos!BE18),(Tasas!C18-Datos!BE18)/Datos!BE18," - ")</f>
        <v>-0.28409090909090912</v>
      </c>
      <c r="J18" s="394">
        <f>IF(ISNUMBER((Tasas!D18-Datos!BF18)/Datos!BF18),(Tasas!D18-Datos!BF18)/Datos!BF18," - ")</f>
        <v>-0.21249999999999997</v>
      </c>
      <c r="K18" s="396">
        <f>IF(ISNUMBER((Tasas!E18-Datos!BG18)/Datos!BG18),(Tasas!E18-Datos!BG18)/Datos!BG18," - ")</f>
        <v>-9.7656249999999944E-2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-8.8888888888888892E-2</v>
      </c>
      <c r="E23" s="399">
        <f>IF(ISNUMBER(
   IF(D_I="SI",(Datos!J23-Datos!T23)/Datos!T23,(Datos!J23+Datos!AD23-(Datos!T23+Datos!AL23))/(Datos!T23+Datos!AL23))
     ),IF(D_I="SI",(Datos!J23-Datos!T23)/Datos!T23,(Datos!J23+Datos!AD23-(Datos!T23+Datos!AL23))/(Datos!T23+Datos!AL23))," - ")</f>
        <v>0.11518324607329843</v>
      </c>
      <c r="F23" s="399">
        <f>IF(ISNUMBER(
   IF(D_I="SI",(Datos!K23-Datos!U23)/Datos!U23,(Datos!K23+Datos!AE23-(Datos!U23+Datos!AM23))/(Datos!U23+Datos!AM23))
     ),IF(D_I="SI",(Datos!K23-Datos!U23)/Datos!U23,(Datos!K23+Datos!AE23-(Datos!U23+Datos!AM23))/(Datos!U23+Datos!AM23))," - ")</f>
        <v>0.10328638497652583</v>
      </c>
      <c r="G23" s="400">
        <f>IF(ISNUMBER(
   IF(D_I="SI",(Datos!L23-Datos!V23)/Datos!V23,(Datos!L23+Datos!AF23-(Datos!V23+Datos!AN23))/(Datos!V23+Datos!AN23))
     ),IF(D_I="SI",(Datos!L23-Datos!V23)/Datos!V23,(Datos!L23+Datos!AF23-(Datos!V23+Datos!AN23))/(Datos!V23+Datos!AN23))," - ")</f>
        <v>-9.6774193548387094E-2</v>
      </c>
      <c r="H23" s="401">
        <f>IF(ISNUMBER((Datos!M23-Datos!W23)/Datos!W23),(Datos!M23-Datos!W23)/Datos!W23," - ")</f>
        <v>6.6666666666666666E-2</v>
      </c>
      <c r="I23" s="402">
        <f>IF(ISNUMBER((Tasas!C23-Datos!BE23)/Datos!BE23),(Tasas!C23-Datos!BE23)/Datos!BE23," - ")</f>
        <v>-0.18133150308853802</v>
      </c>
      <c r="J23" s="400">
        <f>IF(ISNUMBER((Tasas!D23-Datos!BF23)/Datos!BF23),(Tasas!D23-Datos!BF23)/Datos!BF23," - ")</f>
        <v>-3.3191489361702159E-2</v>
      </c>
      <c r="K23" s="403">
        <f>IF(ISNUMBER((Tasas!E23-Datos!BG23)/Datos!BG23),(Tasas!E23-Datos!BG23)/Datos!BG23," - ")</f>
        <v>-9.7549268472792675E-2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1.1682242990654205E-3</v>
      </c>
      <c r="E31" s="409">
        <f>IF(ISNUMBER(
   IF(J_V="SI",(Datos!J31-Datos!T31)/Datos!T31,(Datos!J31+Datos!Z31-(Datos!T31+Datos!AH31))/(Datos!T31+Datos!AH31))
     ),IF(J_V="SI",(Datos!J31-Datos!T31)/Datos!T31,(Datos!J31+Datos!Z31-(Datos!T31+Datos!AH31))/(Datos!T31+Datos!AH31))," - ")</f>
        <v>-1.7204301075268817E-2</v>
      </c>
      <c r="F31" s="409">
        <f>IF(ISNUMBER(
   IF(J_V="SI",(Datos!K31-Datos!U31)/Datos!U31,(Datos!K31+Datos!AA31-(Datos!U31+Datos!AI31))/(Datos!U31+Datos!AI31))
     ),IF(J_V="SI",(Datos!K31-Datos!U31)/Datos!U31,(Datos!K31+Datos!AA31-(Datos!U31+Datos!AI31))/(Datos!U31+Datos!AI31))," - ")</f>
        <v>1.6333938294010888E-2</v>
      </c>
      <c r="G31" s="410">
        <f>IF(ISNUMBER(
   IF(J_V="SI",(Datos!L31-Datos!V31)/Datos!V31,(Datos!L31+Datos!AB31-(Datos!V31+Datos!AJ31))/(Datos!V31+Datos!AJ31))
     ),IF(J_V="SI",(Datos!L31-Datos!V31)/Datos!V31,(Datos!L31+Datos!AB31-(Datos!V31+Datos!AJ31))/(Datos!V31+Datos!AJ31))," - ")</f>
        <v>-3.1168831168831169E-2</v>
      </c>
      <c r="H31" s="411">
        <f>IF(ISNUMBER((Datos!M31-Datos!W31)/Datos!W31),(Datos!M31-Datos!W31)/Datos!W31," - ")</f>
        <v>0.20370370370370369</v>
      </c>
      <c r="I31" s="408">
        <f>IF(ISNUMBER((Tasas!C31-Datos!BE31)/Datos!BE31),(Tasas!C31-Datos!BE31)/Datos!BE31," - ")</f>
        <v>-4.6739332096474982E-2</v>
      </c>
      <c r="J31" s="409">
        <f>IF(ISNUMBER((Tasas!D31-Datos!BF31)/Datos!BF31),(Tasas!D31-Datos!BF31)/Datos!BF31," - ")</f>
        <v>-0.36989795918367341</v>
      </c>
      <c r="K31" s="410">
        <f>IF(ISNUMBER((Tasas!E31-Datos!BG31)/Datos!BG31),(Tasas!E31-Datos!BG31)/Datos!BG31," - ")</f>
        <v>-2.1285281712987939E-2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0.16968088430552955</v>
      </c>
      <c r="E33" s="303">
        <f t="shared" si="1"/>
        <v>0.53592342247870417</v>
      </c>
      <c r="F33" s="303">
        <f t="shared" si="1"/>
        <v>0.52916047562771695</v>
      </c>
      <c r="G33" s="304">
        <f t="shared" si="1"/>
        <v>0.26824011779118917</v>
      </c>
      <c r="H33" s="310">
        <f t="shared" si="1"/>
        <v>0.51707050719793779</v>
      </c>
      <c r="I33" s="302">
        <f t="shared" si="1"/>
        <v>0.14398012998481652</v>
      </c>
      <c r="J33" s="303">
        <f t="shared" si="1"/>
        <v>0.21879130321777232</v>
      </c>
      <c r="K33" s="304">
        <f t="shared" si="1"/>
        <v>7.1552163852017917E-2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tQR8pHp208rat7A9IUvWKCCBJctoy051LCKrUR/rhv0xnIOQXj2DXxxK33zDQ3d0x3E1olIIYd0+Do/6YHhiw==" saltValue="TBtyOaraMX1rkDW/+e97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